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i\Desktop\เตรียมการประเมินปีการศึกษา  2558\"/>
    </mc:Choice>
  </mc:AlternateContent>
  <bookViews>
    <workbookView xWindow="0" yWindow="0" windowWidth="11685" windowHeight="7755"/>
  </bookViews>
  <sheets>
    <sheet name="หลักสูตร" sheetId="1" r:id="rId1"/>
    <sheet name="ผลวิเคราะห์" sheetId="2" r:id="rId2"/>
  </sheets>
  <definedNames>
    <definedName name="_xlnm.Print_Area" localSheetId="1">ผลวิเคราะห์!$A$1:$G$18</definedName>
    <definedName name="_xlnm.Print_Area" localSheetId="0">หลักสูตร!$A$1:$K$44</definedName>
    <definedName name="_xlnm.Print_Titles" localSheetId="0">หลักสูตร!$1:$6</definedName>
  </definedNames>
  <calcPr calcId="162913"/>
</workbook>
</file>

<file path=xl/calcChain.xml><?xml version="1.0" encoding="utf-8"?>
<calcChain xmlns="http://schemas.openxmlformats.org/spreadsheetml/2006/main">
  <c r="B1" i="2" l="1"/>
  <c r="B29" i="1" l="1"/>
  <c r="B25" i="1"/>
  <c r="B21" i="1"/>
  <c r="G31" i="1"/>
  <c r="G30" i="1"/>
  <c r="G32" i="1"/>
  <c r="E31" i="1"/>
  <c r="E30" i="1"/>
  <c r="E32" i="1"/>
  <c r="G28" i="1"/>
  <c r="G27" i="1"/>
  <c r="G26" i="1"/>
  <c r="E28" i="1"/>
  <c r="E27" i="1"/>
  <c r="E26" i="1"/>
  <c r="G24" i="1"/>
  <c r="G23" i="1"/>
  <c r="G22" i="1"/>
  <c r="E24" i="1"/>
  <c r="E23" i="1"/>
  <c r="E22" i="1"/>
  <c r="K7" i="1" l="1"/>
  <c r="C9" i="2" s="1"/>
  <c r="G9" i="2" s="1"/>
  <c r="CJ8" i="1"/>
  <c r="CF8" i="1"/>
  <c r="CF7" i="1"/>
  <c r="CA8" i="1" l="1"/>
  <c r="E2" i="2" l="1"/>
  <c r="D2" i="2"/>
  <c r="K30" i="1" l="1"/>
  <c r="K15" i="1"/>
  <c r="CP8" i="1" l="1"/>
  <c r="CO8" i="1"/>
  <c r="CN8" i="1"/>
  <c r="CM8" i="1"/>
  <c r="CL8" i="1"/>
  <c r="CK8" i="1"/>
  <c r="CI8" i="1"/>
  <c r="CH8" i="1"/>
  <c r="CG8" i="1"/>
  <c r="CE8" i="1"/>
  <c r="CD8" i="1"/>
  <c r="CC8" i="1"/>
  <c r="CP7" i="1"/>
  <c r="CO7" i="1"/>
  <c r="CN7" i="1"/>
  <c r="CM7" i="1"/>
  <c r="CL7" i="1"/>
  <c r="CB8" i="1"/>
  <c r="CK7" i="1"/>
  <c r="CJ7" i="1"/>
  <c r="CI7" i="1"/>
  <c r="CH7" i="1"/>
  <c r="CG7" i="1"/>
  <c r="CE7" i="1"/>
  <c r="CD7" i="1"/>
  <c r="CC7" i="1"/>
  <c r="B43" i="1" l="1"/>
  <c r="L7" i="1"/>
  <c r="CQ8" i="1"/>
  <c r="CB7" i="1"/>
  <c r="CA7" i="1"/>
  <c r="CB14" i="1"/>
  <c r="CQ7" i="1" l="1"/>
  <c r="L8" i="1" s="1"/>
  <c r="L15" i="1" l="1"/>
  <c r="I15" i="1"/>
  <c r="L16" i="1" s="1"/>
  <c r="F40" i="1" l="1"/>
  <c r="L40" i="1" s="1"/>
  <c r="K41" i="1"/>
  <c r="D40" i="1"/>
  <c r="F15" i="2" l="1"/>
  <c r="D15" i="2"/>
  <c r="H40" i="1"/>
  <c r="K40" i="1" s="1"/>
  <c r="L41" i="1"/>
  <c r="L39" i="1"/>
  <c r="K39" i="1"/>
  <c r="L38" i="1"/>
  <c r="K38" i="1"/>
  <c r="L37" i="1"/>
  <c r="K37" i="1"/>
  <c r="L36" i="1"/>
  <c r="K36" i="1"/>
  <c r="L20" i="1"/>
  <c r="K20" i="1"/>
  <c r="L19" i="1"/>
  <c r="K19" i="1"/>
  <c r="L18" i="1"/>
  <c r="K18" i="1"/>
  <c r="K17" i="1"/>
  <c r="L17" i="1"/>
  <c r="G15" i="2" l="1"/>
  <c r="F12" i="2"/>
  <c r="G12" i="2" s="1"/>
  <c r="C12" i="2"/>
  <c r="F14" i="2"/>
  <c r="G14" i="2" s="1"/>
  <c r="D14" i="2"/>
  <c r="D17" i="2"/>
  <c r="D18" i="2" s="1"/>
  <c r="C14" i="2"/>
  <c r="I35" i="1"/>
  <c r="I34" i="1"/>
  <c r="I33" i="1"/>
  <c r="I28" i="1"/>
  <c r="I27" i="1"/>
  <c r="L26" i="1"/>
  <c r="I24" i="1"/>
  <c r="I23" i="1"/>
  <c r="L35" i="1"/>
  <c r="L34" i="1"/>
  <c r="L33" i="1"/>
  <c r="L32" i="1"/>
  <c r="I32" i="1"/>
  <c r="L31" i="1"/>
  <c r="L30" i="1"/>
  <c r="L28" i="1"/>
  <c r="I22" i="1" l="1"/>
  <c r="K22" i="1" s="1"/>
  <c r="L22" i="1"/>
  <c r="I30" i="1"/>
  <c r="L23" i="1"/>
  <c r="I31" i="1"/>
  <c r="I26" i="1"/>
  <c r="K26" i="1" s="1"/>
  <c r="L27" i="1"/>
  <c r="L24" i="1"/>
  <c r="F13" i="2" l="1"/>
  <c r="G13" i="2" s="1"/>
  <c r="C17" i="2"/>
  <c r="C18" i="2" s="1"/>
  <c r="C13" i="2"/>
  <c r="L21" i="1"/>
  <c r="L29" i="1"/>
  <c r="L25" i="1"/>
  <c r="G15" i="1"/>
  <c r="G11" i="1"/>
  <c r="I11" i="1"/>
  <c r="K11" i="1" s="1"/>
  <c r="L13" i="1"/>
  <c r="I13" i="1"/>
  <c r="G13" i="1"/>
  <c r="I9" i="1"/>
  <c r="L9" i="1" s="1"/>
  <c r="G9" i="1"/>
  <c r="L11" i="1" l="1"/>
  <c r="L12" i="1"/>
  <c r="K13" i="1"/>
  <c r="K9" i="1"/>
  <c r="E11" i="2" l="1"/>
  <c r="E17" i="2" s="1"/>
  <c r="E18" i="2" s="1"/>
  <c r="K42" i="1"/>
  <c r="L14" i="1"/>
  <c r="F11" i="2" l="1"/>
  <c r="G11" i="2" s="1"/>
  <c r="B44" i="1"/>
  <c r="F17" i="2"/>
  <c r="G17" i="2" s="1"/>
</calcChain>
</file>

<file path=xl/comments1.xml><?xml version="1.0" encoding="utf-8"?>
<comments xmlns="http://schemas.openxmlformats.org/spreadsheetml/2006/main">
  <authors>
    <author>BUUIC</author>
    <author>svoa108</author>
    <author>A</author>
  </authors>
  <commentList>
    <comment ref="A2" authorId="0" shapeId="0">
      <text>
        <r>
          <rPr>
            <b/>
            <sz val="20"/>
            <color indexed="81"/>
            <rFont val="TH SarabunPSK"/>
            <family val="2"/>
          </rPr>
          <t>ใส่ชื่อหลักสูตรที่จะทำการประเมิน</t>
        </r>
      </text>
    </comment>
    <comment ref="F3" authorId="1" shapeId="0">
      <text>
        <r>
          <rPr>
            <b/>
            <sz val="20"/>
            <color indexed="81"/>
            <rFont val="TH SarabunPSK"/>
            <family val="2"/>
          </rPr>
          <t xml:space="preserve">ใส่เลขแทนระดับปริญญา
</t>
        </r>
        <r>
          <rPr>
            <b/>
            <sz val="20"/>
            <color indexed="18"/>
            <rFont val="TH SarabunPSK"/>
            <family val="2"/>
          </rPr>
          <t>1 = ปริญญาตรี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0"/>
            <rFont val="TH SarabunPSK"/>
            <family val="2"/>
          </rPr>
          <t>2 = ปริญญาโท</t>
        </r>
        <r>
          <rPr>
            <b/>
            <sz val="20"/>
            <color indexed="81"/>
            <rFont val="TH SarabunPSK"/>
            <family val="2"/>
          </rPr>
          <t xml:space="preserve">
</t>
        </r>
        <r>
          <rPr>
            <b/>
            <sz val="20"/>
            <color indexed="17"/>
            <rFont val="TH SarabunPSK"/>
            <family val="2"/>
          </rPr>
          <t>3 = ปริญญาเอก</t>
        </r>
      </text>
    </comment>
    <comment ref="B7" authorId="1" shapeId="0">
      <text>
        <r>
          <rPr>
            <b/>
            <sz val="20"/>
            <color indexed="81"/>
            <rFont val="TH SarabunPSK"/>
            <family val="2"/>
          </rPr>
          <t>1. จำนวนอาจารย์ประจำหลักสูตร</t>
        </r>
      </text>
    </comment>
    <comment ref="C7" authorId="1" shapeId="0">
      <text>
        <r>
          <rPr>
            <b/>
            <sz val="20"/>
            <color indexed="81"/>
            <rFont val="TH SarabunPSK"/>
            <family val="2"/>
          </rPr>
          <t>2. คุณสมบัติของอาจารย์ประจำหลักสูตร</t>
        </r>
      </text>
    </comment>
    <comment ref="D7" authorId="1" shapeId="0">
      <text>
        <r>
          <rPr>
            <b/>
            <sz val="20"/>
            <color indexed="81"/>
            <rFont val="TH SarabunPSK"/>
            <family val="2"/>
          </rPr>
          <t>3. คุณสมบัติของอาจารย์ผู้รับผิดชอบหลักสูตร</t>
        </r>
      </text>
    </comment>
    <comment ref="E7" authorId="1" shapeId="0">
      <text>
        <r>
          <rPr>
            <b/>
            <sz val="20"/>
            <color indexed="81"/>
            <rFont val="TH SarabunPSK"/>
            <family val="2"/>
          </rPr>
          <t>4. คุณสมบัติของอาจารย์ผู้สอน</t>
        </r>
      </text>
    </comment>
    <comment ref="F7" authorId="1" shapeId="0">
      <text>
        <r>
          <rPr>
            <b/>
            <sz val="20"/>
            <color indexed="81"/>
            <rFont val="TH SarabunPSK"/>
            <family val="2"/>
          </rPr>
          <t>5. คุณสมบัติของอาจารย์ที่ปรึกษาวิทยานิพนธ์หลัก และอาจารย์ที่ปรึกษาการค้นคว้าอิสระ</t>
        </r>
      </text>
    </comment>
    <comment ref="G7" authorId="1" shapeId="0">
      <text>
        <r>
          <rPr>
            <b/>
            <sz val="20"/>
            <color indexed="81"/>
            <rFont val="TH SarabunPSK"/>
            <family val="2"/>
          </rPr>
          <t>6. คุณสมบัติของอาจารย์ที่ปรึกษาวิทยานิพนธ์ร่วม  (ถ้ามี)</t>
        </r>
      </text>
    </comment>
    <comment ref="H7" authorId="1" shapeId="0">
      <text>
        <r>
          <rPr>
            <b/>
            <sz val="20"/>
            <color indexed="81"/>
            <rFont val="TH SarabunPSK"/>
            <family val="2"/>
          </rPr>
          <t>7. คุณสมบัติของอาจารย์ผู้สอบวิทยานิพนธ์</t>
        </r>
      </text>
    </comment>
    <comment ref="I7" authorId="1" shapeId="0">
      <text>
        <r>
          <rPr>
            <b/>
            <sz val="20"/>
            <color indexed="81"/>
            <rFont val="TH SarabunPSK"/>
            <family val="2"/>
          </rPr>
          <t>8. การตีพิมพ์เผยแพร่ผลงานของผู้สำเร็จการศึกษา</t>
        </r>
      </text>
    </comment>
    <comment ref="J7" authorId="1" shapeId="0">
      <text>
        <r>
          <rPr>
            <b/>
            <sz val="20"/>
            <color indexed="81"/>
            <rFont val="TH SarabunPSK"/>
            <family val="2"/>
          </rPr>
          <t>9. ภาระงานอาจารย์ที่ปรึกษาวิทยานิพนธ์และการค้นคว้าอิสระในระดับบัณฑิตศึกษา</t>
        </r>
      </text>
    </comment>
    <comment ref="B8" authorId="1" shapeId="0">
      <text>
        <r>
          <rPr>
            <b/>
            <sz val="20"/>
            <color indexed="81"/>
            <rFont val="TH SarabunPSK"/>
            <family val="2"/>
          </rPr>
          <t>10. อาจารย์ที่ปรึกษาวิทยานิพนธ์และการค้นคว้าอิสระในระดับบัณฑิตศึกษามีผลงานวิจัยอย่างต่อเนื่องและสม่ำเสมอ</t>
        </r>
      </text>
    </comment>
    <comment ref="C8" authorId="1" shapeId="0">
      <text>
        <r>
          <rPr>
            <b/>
            <sz val="20"/>
            <color indexed="81"/>
            <rFont val="TH SarabunPSK"/>
            <family val="2"/>
          </rPr>
          <t>11. การปรับปรุงหลักสูตรตามรอบระยะเวลาที่กำหนด</t>
        </r>
      </text>
    </comment>
    <comment ref="D8" authorId="1" shapeId="0">
      <text>
        <r>
          <rPr>
            <b/>
            <sz val="20"/>
            <color indexed="81"/>
            <rFont val="TH SarabunPSK"/>
            <family val="2"/>
          </rPr>
          <t>12.1 อาจารย์ประจำหลักสูตรอย่างน้อยร้อยละ 80 มีส่วนร่วมในการประชุมเพื่อวางแผน ติดตาม และทบทวนการดำเนินงานหลักสูตร</t>
        </r>
      </text>
    </comment>
    <comment ref="E8" authorId="1" shapeId="0">
      <text>
        <r>
          <rPr>
            <b/>
            <sz val="20"/>
            <color indexed="81"/>
            <rFont val="TH SarabunPSK"/>
            <family val="2"/>
          </rPr>
          <t>12.2 มีรายละเอียดของหลักสูตร ตามแบบ มคอ. 2 ที่สอดคล้องกับกรอบมาตรฐานคุณวุฒิแห่งชาติ หรือมาตรฐานคุณวุฒิสาขา/สาขาวิชา (ถ้ามี)</t>
        </r>
      </text>
    </comment>
    <comment ref="F8" authorId="1" shapeId="0">
      <text>
        <r>
          <rPr>
            <b/>
            <sz val="20"/>
            <color indexed="81"/>
            <rFont val="TH SarabunPSK"/>
            <family val="2"/>
          </rPr>
          <t>12.3 มีรายละเอียดของรายวิชา และรายละเอียดของประสบการณ์ภาคสนาม (ถ้ามี) ตามแบบ มคอ. 3 และ มคอ. 4 อย่างน้อยก่อนการเปิดสอนในแต่ละภาคการศึกษาให้ครบทุกรายวิชา</t>
        </r>
      </text>
    </comment>
    <comment ref="G8" authorId="1" shapeId="0">
      <text>
        <r>
          <rPr>
            <b/>
            <sz val="20"/>
            <color indexed="81"/>
            <rFont val="TH SarabunPSK"/>
            <family val="2"/>
          </rPr>
          <t>12.4 จัดทำรายงานผลการดำเนินการของรายวิชา และรายงานผลการดำเนินการของประสบการณ์ภาคสนาม (ถ้ามี) ตามแบบ มคอ. 5 และ มคอ. 6 ภายใน 30 วัน หลังสิ้นสุดภาคการศึกษาที่เปิดสอนให้ครบทุกรายวิชา</t>
        </r>
      </text>
    </comment>
    <comment ref="H8" authorId="1" shapeId="0">
      <text>
        <r>
          <rPr>
            <b/>
            <sz val="20"/>
            <color indexed="81"/>
            <rFont val="TH SarabunPSK"/>
            <family val="2"/>
          </rPr>
          <t>12.5 จัดทำรายงานผลการดำเนินการของหลักสูตร ตามแบบ มคอ. 7 ภายใน 60 วัน หลังสิ้นสุดปีการศึกษา</t>
        </r>
      </text>
    </comment>
    <comment ref="B9" authorId="2" shapeId="0">
      <text>
        <r>
          <rPr>
            <b/>
            <sz val="20"/>
            <color indexed="81"/>
            <rFont val="TH SarabunPSK"/>
            <family val="2"/>
          </rPr>
          <t>ผลรวมของค่าคะแนนที่ได้จากการประเมินบัณฑิต</t>
        </r>
      </text>
    </comment>
    <comment ref="B10" authorId="2" shapeId="0">
      <text>
        <r>
          <rPr>
            <b/>
            <sz val="20"/>
            <color indexed="81"/>
            <rFont val="TH SarabunPSK"/>
            <family val="2"/>
          </rPr>
          <t>จำนวนบัณฑิตที่ได้รับการประเมินทั้งหมด</t>
        </r>
      </text>
    </comment>
    <comment ref="B11" authorId="2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จำนวนบัณฑิตปริญญาตรีที่ได้งานทำตรงสาขาวิชาหรือทำงานในสถานประกอบการที่ดำเนินงานเกี่ยวข้องภายใน 1 ปี</t>
        </r>
      </text>
    </comment>
    <comment ref="B12" authorId="2" shapeId="0">
      <text>
        <r>
          <rPr>
            <b/>
            <sz val="20"/>
            <color indexed="81"/>
            <rFont val="TH SarabunPSK"/>
            <family val="2"/>
          </rPr>
          <t>จำนวนบัณฑิตปริญญาตรีที่ตอบแบบสำรวจทั้งหมด</t>
        </r>
      </text>
    </comment>
    <comment ref="B13" authorId="2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ผลรวมถ่วงน้ำหนักของผลงานที่ตีพิมพ์หรือเผยแพร่ของนักศึกษาและผู้สำเร็จการศึกษาระดับปริญญาโท</t>
        </r>
      </text>
    </comment>
    <comment ref="B14" authorId="2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จำนวนผู้สำเร็จการศึกษาระดับปริญญาโททั้งหมด</t>
        </r>
      </text>
    </comment>
    <comment ref="B15" authorId="2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ผลรวมถ่วงน้ำหนักของผลงานที่ตีพิมพ์หรือเผยแพร่ของนักศึกษาและผู้สำเร็จการศึกษาระดับปริญญาเอก</t>
        </r>
      </text>
    </comment>
    <comment ref="B16" authorId="2" shapeId="0">
      <text>
        <r>
          <rPr>
            <b/>
            <sz val="20"/>
            <color indexed="81"/>
            <rFont val="TH SarabunPSK"/>
            <family val="2"/>
          </rPr>
          <t>จำนวนผู้สำเร็จการศึกษาระดับปริญญาเอกทั้งหมด</t>
        </r>
      </text>
    </comment>
    <comment ref="B17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17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18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18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19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19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20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20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22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จำนวนอาจารย์ประจำหลักสูตรที่มีคุณวุฒิปริญญาเอก</t>
        </r>
      </text>
    </comment>
    <comment ref="D22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23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จำนวนอาจารย์ประจำหลักสูตรที่ดำรงตำแหน่งทางวิชาการ</t>
        </r>
      </text>
    </comment>
    <comment ref="D23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24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ผลรวมถ่วงน้ำหนักของผลงานทางวิชาการของอาจารย์ประจำหลักสูตร</t>
        </r>
      </text>
    </comment>
    <comment ref="D24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26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จำนวนอาจารย์ประจำหลักสูตรที่มีคุณวุฒิปริญญาเอก</t>
        </r>
      </text>
    </comment>
    <comment ref="D26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27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จำนวนอาจารย์ประจำหลักสูตรที่ดำรงตำแหน่งทางวิชาการ</t>
        </r>
      </text>
    </comment>
    <comment ref="D27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28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ผลรวมถ่วงน้ำหนักของผลงานทางวิชาการของอาจารย์ประจำหลักสูตร</t>
        </r>
      </text>
    </comment>
    <comment ref="D28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3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จำนวนอาจารย์ประจำหลักสูตรที่มีคุณวุฒิปริญญาเอก</t>
        </r>
      </text>
    </comment>
    <comment ref="D30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31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จำนวนอาจารย์ประจำหลักสูตรที่ดำรงตำแหน่งทางวิชาการ</t>
        </r>
      </text>
    </comment>
    <comment ref="D31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32" authorId="1" shapeId="0">
      <text>
        <r>
          <rPr>
            <b/>
            <sz val="20"/>
            <color indexed="81"/>
            <rFont val="TH SarabunPSK"/>
            <family val="2"/>
          </rPr>
          <t>ผลรวมถ่วงน้ำหนักของผลงานทางวิชาการของอาจารย์ประจำหลักสูตร</t>
        </r>
      </text>
    </comment>
    <comment ref="D32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F33" authorId="1" shapeId="0">
      <text>
        <r>
          <rPr>
            <b/>
            <sz val="20"/>
            <color indexed="81"/>
            <rFont val="TH SarabunPSK"/>
            <family val="2"/>
          </rPr>
          <t>จำนวนบทความที่ได้รับการอ้างอิง</t>
        </r>
      </text>
    </comment>
    <comment ref="H33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F34" authorId="1" shapeId="0">
      <text>
        <r>
          <rPr>
            <b/>
            <sz val="20"/>
            <color indexed="81"/>
            <rFont val="TH SarabunPSK"/>
            <family val="2"/>
          </rPr>
          <t>จำนวนบทความที่ได้รับการอ้างอิง</t>
        </r>
      </text>
    </comment>
    <comment ref="H34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F35" authorId="1" shapeId="0">
      <text>
        <r>
          <rPr>
            <b/>
            <sz val="20"/>
            <color indexed="81"/>
            <rFont val="TH SarabunPSK"/>
            <family val="2"/>
          </rPr>
          <t>จำนวนบทความที่ได้รับการอ้างอิง</t>
        </r>
      </text>
    </comment>
    <comment ref="H35" authorId="1" shapeId="0">
      <text>
        <r>
          <rPr>
            <b/>
            <sz val="20"/>
            <color indexed="81"/>
            <rFont val="TH SarabunPSK"/>
            <family val="2"/>
          </rPr>
          <t>จำนวนอาจารย์ประจำหลักสูตรทั้งหมด</t>
        </r>
      </text>
    </comment>
    <comment ref="B36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36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37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37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38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38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39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39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  <comment ref="B40" authorId="1" shapeId="0">
      <text>
        <r>
          <rPr>
            <b/>
            <sz val="20"/>
            <color indexed="81"/>
            <rFont val="TH SarabunPSK"/>
            <family val="2"/>
          </rPr>
          <t>จำนวนข้อของผลการดำเนินงานตามตัวบ่งชี้การดำเนินงานตามกรอบมาตรฐานคุณวุฒิระดับอุดมศึกษา</t>
        </r>
      </text>
    </comment>
    <comment ref="C40" authorId="1" shapeId="0">
      <text>
        <r>
          <rPr>
            <b/>
            <sz val="20"/>
            <color indexed="81"/>
            <rFont val="TH SarabunPSK"/>
            <family val="2"/>
          </rPr>
          <t>จำนวนข้อตามตัวบ่งชี้การดำเนินงานตามกรอบมาตรฐานคุณวุฒิระดับอุดมศึกษาที่ระบุไว้ในหลักสูตรแต่ละปี</t>
        </r>
      </text>
    </comment>
    <comment ref="B41" authorId="1" shapeId="0">
      <text>
        <r>
          <rPr>
            <b/>
            <sz val="20"/>
            <color indexed="81"/>
            <rFont val="TH SarabunPSK"/>
            <family val="2"/>
          </rPr>
          <t>ใส่จุดเด่น ที่เป็นข้อความสั้นๆ ได้</t>
        </r>
      </text>
    </comment>
    <comment ref="J41" authorId="1" shapeId="0">
      <text>
        <r>
          <rPr>
            <b/>
            <sz val="20"/>
            <color indexed="81"/>
            <rFont val="TH SarabunPSK"/>
            <family val="2"/>
          </rPr>
          <t>ใส่คะแนนที่ประเมินได้ ซึ่งมีค่าตั้งแต่ 0 คะแนน - 5 คะแนน</t>
        </r>
      </text>
    </comment>
  </commentList>
</comments>
</file>

<file path=xl/sharedStrings.xml><?xml version="1.0" encoding="utf-8"?>
<sst xmlns="http://schemas.openxmlformats.org/spreadsheetml/2006/main" count="79" uniqueCount="63">
  <si>
    <t>1.1 การบริหารจัดการหลักสูตรตามเกณฑ์มาตรฐานหลักสูตรที่กำหนดโดย สกอ.</t>
  </si>
  <si>
    <t>คะแนนการประเมิน
(ตามเกณฑ์ สกอ.)</t>
  </si>
  <si>
    <t>ตัวตั้ง</t>
  </si>
  <si>
    <t>ผลลัพธ์
(% หรือสัดส่วน)</t>
  </si>
  <si>
    <t>ตัวหาร</t>
  </si>
  <si>
    <t>ตัวบ่งชี้คุณภาพ</t>
  </si>
  <si>
    <t>2.1 คุณภาพบัณฑิตตามกรอบมาตรฐานคุณวุฒิ ระดับอุดมศึกษาแห่งชาติ</t>
  </si>
  <si>
    <t>2.2 (ปริญญาตรี) ร้อยละของบัณฑิตปริญญาตรีที่ได้งานทำหรือประกอบอาชีพอิสระภายใน 1 ปี</t>
  </si>
  <si>
    <t>2.2 (ปริญญาโท) ผลงานของนักศึกษาและผู้สำเร็จการศึกษาในระดับปริญญาโทที่ได้รับการตีพิมพ์หรือเผยแพร่</t>
  </si>
  <si>
    <t>2.2 (ปริญญาเอก) ผลงานของนักศึกษาและผู้สำเร็จการศึกษาในระดับปริญญาเอกที่ได้รับการตีพิมพ์หรือเผยแพร่</t>
  </si>
  <si>
    <t>3.1 การรับนักศึกษา</t>
  </si>
  <si>
    <t>3.2 การส่งเสริมและพัฒนานักศึกษา</t>
  </si>
  <si>
    <t>3.3 ผลที่เกิดกับนักศึกษา</t>
  </si>
  <si>
    <t>4.1 การบริหารและพัฒนาอาจารย์</t>
  </si>
  <si>
    <t>4.3 ผลที่เกิดกับอาจารย์</t>
  </si>
  <si>
    <t>5.1 สาระของรายวิชาในหลักสูตร</t>
  </si>
  <si>
    <t>5.2 การวางระบบผู้สอนและกระบวนการจัดการเรียนการสอน</t>
  </si>
  <si>
    <t>5.3 การประเมินผู้เรียน</t>
  </si>
  <si>
    <t>5.4 ผลการดำเนินงานหลักสูตรตามกรอบมาตรฐานคุณวุฒิระดับอุดมศึกษาแห่งชาติ</t>
  </si>
  <si>
    <t>6.1 สิ่งสนับสนุนการเรียนรู้</t>
  </si>
  <si>
    <t>วิทย์และเทคโนโลยี</t>
  </si>
  <si>
    <t>วิทย์สุขภาพ</t>
  </si>
  <si>
    <t>มนุษย์สังคม</t>
  </si>
  <si>
    <r>
      <t xml:space="preserve">          </t>
    </r>
    <r>
      <rPr>
        <b/>
        <sz val="16"/>
        <color rgb="FFC00000"/>
        <rFont val="TH SarabunPSK"/>
        <family val="2"/>
      </rPr>
      <t>ในฐานข้อมูล TCI และ SCOPUS ต่อจำนวนอาจารย์ประจำหลักสูตร</t>
    </r>
  </si>
  <si>
    <r>
      <t xml:space="preserve">     </t>
    </r>
    <r>
      <rPr>
        <b/>
        <sz val="16"/>
        <color rgb="FFC00000"/>
        <rFont val="TH SarabunPSK"/>
        <family val="2"/>
      </rPr>
      <t>จำนวนบทความของอาจารย์ประจำหลักสูตร</t>
    </r>
    <r>
      <rPr>
        <b/>
        <sz val="16"/>
        <color rgb="FF660066"/>
        <rFont val="TH SarabunPSK"/>
        <family val="2"/>
      </rPr>
      <t>ปริญญาเอก</t>
    </r>
    <r>
      <rPr>
        <b/>
        <sz val="16"/>
        <color rgb="FFC00000"/>
        <rFont val="TH SarabunPSK"/>
        <family val="2"/>
      </rPr>
      <t>ที่ได้รับการอ้างอิง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</si>
  <si>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</si>
  <si>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  <r>
      <rPr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</si>
  <si>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</si>
  <si>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</si>
  <si>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  <r>
      <rPr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</si>
  <si>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ผลงานทางวิชาการของอาจารย์ประจำ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</si>
  <si>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0000CC"/>
        <rFont val="TH SarabunPSK"/>
        <family val="2"/>
      </rPr>
      <t>หลักสูตรปริญญาโท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</si>
  <si>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</si>
  <si>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sz val="16"/>
        <color theme="1"/>
        <rFont val="TH SarabunPSK"/>
        <family val="2"/>
      </rPr>
      <t xml:space="preserve"> ที่มีคุณวุฒิปริญญาเอก</t>
    </r>
  </si>
  <si>
    <r>
      <t xml:space="preserve">     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  <r>
      <rPr>
        <sz val="16"/>
        <color theme="1"/>
        <rFont val="TH SarabunPSK"/>
        <family val="2"/>
      </rPr>
      <t xml:space="preserve"> ที่ดำรงตำแหน่งทางวิชาการ</t>
    </r>
  </si>
  <si>
    <r>
      <t xml:space="preserve">     ผลงานทางวิชาการของอาจารย์ประจำ</t>
    </r>
    <r>
      <rPr>
        <b/>
        <sz val="16"/>
        <color rgb="FFFF0000"/>
        <rFont val="TH SarabunPSK"/>
        <family val="2"/>
      </rPr>
      <t>หลักสูตรปริญญาตรี</t>
    </r>
  </si>
  <si>
    <r>
      <t xml:space="preserve">4.2 คุณภาพอาจารย์ </t>
    </r>
    <r>
      <rPr>
        <b/>
        <sz val="16"/>
        <color rgb="FFFF0000"/>
        <rFont val="TH SarabunPSK"/>
        <family val="2"/>
      </rPr>
      <t>หลักสูตรปริญญาตรี</t>
    </r>
  </si>
  <si>
    <t>ระดับปริญญา</t>
  </si>
  <si>
    <t>ใส่ Y, N</t>
  </si>
  <si>
    <t>ชื่อหลักสูตรที่จะทำการประเมิน</t>
  </si>
  <si>
    <t xml:space="preserve"> ผลการดำเนินงาน</t>
  </si>
  <si>
    <t>ผลการประเมินระดับหลักสูตร</t>
  </si>
  <si>
    <t>คะแนนเฉลี่ยของ
ตัวบ่งชี้ในองค์ประกอบที่ 2-6</t>
  </si>
  <si>
    <r>
      <rPr>
        <b/>
        <sz val="20"/>
        <rFont val="TH SarabunPSK"/>
        <family val="2"/>
      </rPr>
      <t>(ให้ใส่เลข</t>
    </r>
    <r>
      <rPr>
        <b/>
        <sz val="20"/>
        <color rgb="FF0000CC"/>
        <rFont val="TH SarabunPSK"/>
        <family val="2"/>
      </rPr>
      <t xml:space="preserve"> 1 = ปริญญาตรี,</t>
    </r>
    <r>
      <rPr>
        <b/>
        <sz val="20"/>
        <color rgb="FFFF0000"/>
        <rFont val="TH SarabunPSK"/>
        <family val="2"/>
      </rPr>
      <t xml:space="preserve"> 2 = ปริญญาโท,</t>
    </r>
    <r>
      <rPr>
        <b/>
        <sz val="20"/>
        <color rgb="FF0000CC"/>
        <rFont val="TH SarabunPSK"/>
        <family val="2"/>
      </rPr>
      <t xml:space="preserve"> </t>
    </r>
    <r>
      <rPr>
        <b/>
        <sz val="20"/>
        <color theme="9" tint="-0.499984740745262"/>
        <rFont val="TH SarabunPSK"/>
        <family val="2"/>
      </rPr>
      <t>3 = ปริญญาเอก</t>
    </r>
    <r>
      <rPr>
        <b/>
        <sz val="20"/>
        <rFont val="TH SarabunPSK"/>
        <family val="2"/>
      </rPr>
      <t>)</t>
    </r>
  </si>
  <si>
    <t>I</t>
  </si>
  <si>
    <t>P</t>
  </si>
  <si>
    <t>O</t>
  </si>
  <si>
    <t>คะแนนเฉลี่ยของทุกตัวบ่งชี้ในองค์ประกอบที่ 2-6</t>
  </si>
  <si>
    <t>ผลการประเมิน</t>
  </si>
  <si>
    <t>0.01 – 2.00 ระดับคุณภาพน้อย</t>
  </si>
  <si>
    <t>2.01 – 3.00 ระดับคุณภาพปานกลาง</t>
  </si>
  <si>
    <t>3.01 – 4.00 ระดับคุณภาพดี</t>
  </si>
  <si>
    <t>4.01 – 5.00 ระดับคุณภาพดีมาก</t>
  </si>
  <si>
    <t>-</t>
  </si>
  <si>
    <t>รวม</t>
  </si>
  <si>
    <t>จำนวนตัวบ่งชี้</t>
  </si>
  <si>
    <t>ตารางการวิเคราะห์คุณภาพการศึกษาภายในระดับหลักสูตร</t>
  </si>
  <si>
    <t>ป.ตรี 4 บัณฑิต 12</t>
  </si>
  <si>
    <t>หลักสูตร</t>
  </si>
  <si>
    <t>องค์ ประกอบ ที่</t>
  </si>
  <si>
    <t>คะแนนเฉลี่ย</t>
  </si>
  <si>
    <t>y</t>
  </si>
  <si>
    <t>หลักสูตรคอมพิวเตอร์ธุรกิจ มรภ.กพ.แม่สอด ปีการศึกษา 2558 (รอบระยะเวลาดำเนินงาน  สิงหาคม 2558- พฤษภาคม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</si>
</sst>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.0"/>
  </numFmts>
  <fonts count="4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name val="TH SarabunPSK"/>
      <family val="2"/>
    </font>
    <font>
      <b/>
      <sz val="22"/>
      <color theme="1"/>
      <name val="TH SarabunPSK"/>
      <family val="2"/>
    </font>
    <font>
      <b/>
      <sz val="20"/>
      <color indexed="81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00CC"/>
      <name val="TH SarabunPSK"/>
      <family val="2"/>
    </font>
    <font>
      <b/>
      <sz val="16"/>
      <color rgb="FF660066"/>
      <name val="TH SarabunPSK"/>
      <family val="2"/>
    </font>
    <font>
      <b/>
      <sz val="16"/>
      <color rgb="FFC0000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CC"/>
      <name val="TH SarabunPSK"/>
      <family val="2"/>
    </font>
    <font>
      <b/>
      <sz val="20"/>
      <color rgb="FFFF0000"/>
      <name val="TH SarabunPSK"/>
      <family val="2"/>
    </font>
    <font>
      <b/>
      <sz val="20"/>
      <color theme="9" tint="-0.499984740745262"/>
      <name val="TH SarabunPSK"/>
      <family val="2"/>
    </font>
    <font>
      <b/>
      <sz val="18"/>
      <color rgb="FF0000CC"/>
      <name val="TH SarabunPSK"/>
      <family val="2"/>
    </font>
    <font>
      <b/>
      <sz val="20"/>
      <color indexed="18"/>
      <name val="TH SarabunPSK"/>
      <family val="2"/>
    </font>
    <font>
      <b/>
      <sz val="20"/>
      <color indexed="10"/>
      <name val="TH SarabunPSK"/>
      <family val="2"/>
    </font>
    <font>
      <b/>
      <sz val="20"/>
      <color indexed="17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rgb="FFC00000"/>
      <name val="TH SarabunPSK"/>
      <family val="2"/>
    </font>
    <font>
      <b/>
      <sz val="19.8"/>
      <color rgb="FFFF0000"/>
      <name val="TH SarabunPSK"/>
      <family val="2"/>
    </font>
    <font>
      <b/>
      <sz val="20"/>
      <name val="TH SarabunPSK"/>
      <family val="2"/>
    </font>
    <font>
      <b/>
      <sz val="18"/>
      <color rgb="FFFFFFFF"/>
      <name val="TH SarabunPSK"/>
      <family val="2"/>
    </font>
    <font>
      <b/>
      <sz val="12"/>
      <color rgb="FFFFFFFF"/>
      <name val="TH SarabunPSK"/>
      <family val="2"/>
    </font>
    <font>
      <sz val="18"/>
      <name val="TH SarabunPSK"/>
      <family val="2"/>
    </font>
    <font>
      <b/>
      <sz val="24"/>
      <color rgb="FF000000"/>
      <name val="TH SarabunPSK"/>
      <family val="2"/>
    </font>
    <font>
      <sz val="20"/>
      <name val="TH SarabunPSK"/>
      <family val="2"/>
    </font>
    <font>
      <b/>
      <sz val="20"/>
      <color rgb="FF000000"/>
      <name val="TH SarabunPSK"/>
      <family val="2"/>
    </font>
    <font>
      <b/>
      <sz val="24"/>
      <color rgb="FFFF0000"/>
      <name val="TH SarabunPSK"/>
      <family val="2"/>
    </font>
    <font>
      <b/>
      <sz val="18"/>
      <color rgb="FF000000"/>
      <name val="TH SarabunPSK"/>
      <family val="2"/>
    </font>
    <font>
      <b/>
      <sz val="22"/>
      <color theme="5" tint="-0.499984740745262"/>
      <name val="TH SarabunPSK"/>
      <family val="2"/>
    </font>
    <font>
      <b/>
      <sz val="22"/>
      <color rgb="FF0000CC"/>
      <name val="TH SarabunPSK"/>
      <family val="2"/>
    </font>
    <font>
      <b/>
      <sz val="20"/>
      <color rgb="FFC00000"/>
      <name val="TH SarabunPSK"/>
      <family val="2"/>
    </font>
    <font>
      <b/>
      <sz val="16"/>
      <color theme="9" tint="-0.499984740745262"/>
      <name val="TH SarabunPSK"/>
      <family val="2"/>
    </font>
    <font>
      <b/>
      <sz val="18"/>
      <color theme="9" tint="-0.499984740745262"/>
      <name val="TH SarabunPSK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78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5FFC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EFE5F7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EFEE8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165" fontId="6" fillId="11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9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2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4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3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5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7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6" borderId="13" xfId="0" applyNumberFormat="1" applyFont="1" applyFill="1" applyBorder="1" applyAlignment="1" applyProtection="1">
      <alignment horizontal="center" vertical="center" wrapText="1"/>
      <protection locked="0"/>
    </xf>
    <xf numFmtId="165" fontId="6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19" borderId="1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165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/>
      <protection hidden="1"/>
    </xf>
    <xf numFmtId="0" fontId="12" fillId="10" borderId="13" xfId="0" applyFont="1" applyFill="1" applyBorder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horizontal="right"/>
      <protection hidden="1"/>
    </xf>
    <xf numFmtId="0" fontId="17" fillId="10" borderId="17" xfId="0" applyFont="1" applyFill="1" applyBorder="1" applyAlignment="1" applyProtection="1">
      <alignment vertical="top"/>
      <protection hidden="1"/>
    </xf>
    <xf numFmtId="0" fontId="16" fillId="0" borderId="0" xfId="0" applyFont="1" applyBorder="1" applyAlignment="1" applyProtection="1">
      <alignment horizontal="left" vertical="top"/>
      <protection hidden="1"/>
    </xf>
    <xf numFmtId="0" fontId="16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1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vertical="center" wrapText="1"/>
      <protection hidden="1"/>
    </xf>
    <xf numFmtId="2" fontId="1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1" applyNumberFormat="1" applyFont="1" applyFill="1" applyBorder="1" applyAlignment="1" applyProtection="1">
      <alignment vertical="center" wrapText="1"/>
      <protection hidden="1"/>
    </xf>
    <xf numFmtId="0" fontId="1" fillId="0" borderId="13" xfId="0" applyFont="1" applyBorder="1" applyAlignment="1" applyProtection="1">
      <alignment vertical="top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vertical="top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" fillId="8" borderId="17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5" borderId="17" xfId="0" applyFont="1" applyFill="1" applyBorder="1" applyAlignment="1" applyProtection="1">
      <alignment vertical="center"/>
      <protection hidden="1"/>
    </xf>
    <xf numFmtId="0" fontId="4" fillId="5" borderId="17" xfId="0" applyFont="1" applyFill="1" applyBorder="1" applyAlignment="1" applyProtection="1">
      <alignment vertical="center"/>
      <protection hidden="1"/>
    </xf>
    <xf numFmtId="0" fontId="6" fillId="4" borderId="17" xfId="0" applyFont="1" applyFill="1" applyBorder="1" applyAlignment="1" applyProtection="1">
      <alignment wrapText="1"/>
      <protection hidden="1"/>
    </xf>
    <xf numFmtId="0" fontId="1" fillId="4" borderId="17" xfId="0" applyFont="1" applyFill="1" applyBorder="1" applyProtection="1">
      <protection hidden="1"/>
    </xf>
    <xf numFmtId="0" fontId="1" fillId="0" borderId="17" xfId="0" applyFont="1" applyBorder="1" applyAlignment="1" applyProtection="1">
      <alignment vertical="top" wrapText="1"/>
      <protection hidden="1"/>
    </xf>
    <xf numFmtId="2" fontId="8" fillId="2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9" fillId="23" borderId="19" xfId="0" applyFont="1" applyFill="1" applyBorder="1" applyAlignment="1" applyProtection="1">
      <alignment horizontal="center" vertical="center" wrapText="1" readingOrder="1"/>
      <protection hidden="1"/>
    </xf>
    <xf numFmtId="0" fontId="30" fillId="23" borderId="20" xfId="0" applyFont="1" applyFill="1" applyBorder="1" applyAlignment="1" applyProtection="1">
      <alignment horizontal="left" vertical="center" readingOrder="1"/>
      <protection hidden="1"/>
    </xf>
    <xf numFmtId="0" fontId="30" fillId="23" borderId="21" xfId="0" applyFont="1" applyFill="1" applyBorder="1" applyAlignment="1" applyProtection="1">
      <alignment horizontal="left" vertical="center" readingOrder="1"/>
      <protection hidden="1"/>
    </xf>
    <xf numFmtId="0" fontId="28" fillId="25" borderId="30" xfId="0" applyFont="1" applyFill="1" applyBorder="1" applyAlignment="1" applyProtection="1">
      <alignment vertical="center" wrapText="1"/>
      <protection hidden="1"/>
    </xf>
    <xf numFmtId="2" fontId="28" fillId="26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26" borderId="30" xfId="0" applyNumberFormat="1" applyFont="1" applyFill="1" applyBorder="1" applyAlignment="1" applyProtection="1">
      <alignment horizontal="left" vertical="center"/>
      <protection hidden="1"/>
    </xf>
    <xf numFmtId="2" fontId="28" fillId="27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27" borderId="30" xfId="0" applyNumberFormat="1" applyFont="1" applyFill="1" applyBorder="1" applyAlignment="1" applyProtection="1">
      <alignment horizontal="left" vertical="center" wrapText="1"/>
      <protection hidden="1"/>
    </xf>
    <xf numFmtId="2" fontId="28" fillId="28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28" borderId="30" xfId="0" applyNumberFormat="1" applyFont="1" applyFill="1" applyBorder="1" applyAlignment="1" applyProtection="1">
      <alignment horizontal="left" vertical="center" wrapText="1"/>
      <protection hidden="1"/>
    </xf>
    <xf numFmtId="2" fontId="28" fillId="25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25" borderId="30" xfId="0" applyNumberFormat="1" applyFont="1" applyFill="1" applyBorder="1" applyAlignment="1" applyProtection="1">
      <alignment horizontal="left" vertical="center" wrapText="1"/>
      <protection hidden="1"/>
    </xf>
    <xf numFmtId="0" fontId="34" fillId="29" borderId="30" xfId="0" applyFont="1" applyFill="1" applyBorder="1" applyAlignment="1" applyProtection="1">
      <alignment horizontal="center" vertical="center" wrapText="1" readingOrder="1"/>
      <protection hidden="1"/>
    </xf>
    <xf numFmtId="0" fontId="33" fillId="29" borderId="30" xfId="0" applyFont="1" applyFill="1" applyBorder="1" applyAlignment="1" applyProtection="1">
      <alignment horizontal="center" vertical="top" wrapText="1"/>
      <protection hidden="1"/>
    </xf>
    <xf numFmtId="2" fontId="34" fillId="32" borderId="30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32" borderId="30" xfId="0" applyNumberFormat="1" applyFont="1" applyFill="1" applyBorder="1" applyAlignment="1" applyProtection="1">
      <alignment horizontal="center" vertical="top" wrapText="1"/>
      <protection hidden="1"/>
    </xf>
    <xf numFmtId="2" fontId="28" fillId="32" borderId="30" xfId="0" applyNumberFormat="1" applyFont="1" applyFill="1" applyBorder="1" applyAlignment="1" applyProtection="1">
      <alignment horizontal="left" vertical="top" wrapText="1"/>
      <protection hidden="1"/>
    </xf>
    <xf numFmtId="2" fontId="0" fillId="0" borderId="0" xfId="0" applyNumberFormat="1" applyProtection="1">
      <protection hidden="1"/>
    </xf>
    <xf numFmtId="0" fontId="10" fillId="30" borderId="30" xfId="0" applyFont="1" applyFill="1" applyBorder="1" applyAlignment="1" applyProtection="1">
      <alignment horizontal="center" vertical="top" wrapText="1"/>
      <protection hidden="1"/>
    </xf>
    <xf numFmtId="0" fontId="31" fillId="31" borderId="30" xfId="0" applyFont="1" applyFill="1" applyBorder="1" applyAlignment="1" applyProtection="1">
      <alignment horizontal="center" vertical="top" wrapText="1"/>
      <protection hidden="1"/>
    </xf>
    <xf numFmtId="0" fontId="31" fillId="30" borderId="30" xfId="0" applyFont="1" applyFill="1" applyBorder="1" applyAlignment="1" applyProtection="1">
      <alignment horizontal="center" vertical="top" wrapText="1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0" fontId="34" fillId="25" borderId="30" xfId="0" applyFont="1" applyFill="1" applyBorder="1" applyAlignment="1" applyProtection="1">
      <alignment horizontal="center" vertical="center" wrapText="1" readingOrder="1"/>
      <protection hidden="1"/>
    </xf>
    <xf numFmtId="2" fontId="34" fillId="25" borderId="30" xfId="0" applyNumberFormat="1" applyFont="1" applyFill="1" applyBorder="1" applyAlignment="1" applyProtection="1">
      <alignment horizontal="center" vertical="center" wrapText="1" readingOrder="1"/>
      <protection hidden="1"/>
    </xf>
    <xf numFmtId="2" fontId="34" fillId="25" borderId="30" xfId="0" applyNumberFormat="1" applyFont="1" applyFill="1" applyBorder="1" applyAlignment="1" applyProtection="1">
      <alignment horizontal="center" vertical="center" readingOrder="1"/>
      <protection hidden="1"/>
    </xf>
    <xf numFmtId="0" fontId="34" fillId="26" borderId="30" xfId="0" applyFont="1" applyFill="1" applyBorder="1" applyAlignment="1" applyProtection="1">
      <alignment horizontal="center" vertical="center" wrapText="1" readingOrder="1"/>
      <protection hidden="1"/>
    </xf>
    <xf numFmtId="2" fontId="28" fillId="26" borderId="30" xfId="0" applyNumberFormat="1" applyFont="1" applyFill="1" applyBorder="1" applyAlignment="1" applyProtection="1">
      <alignment horizontal="center" vertical="center" wrapText="1" readingOrder="1"/>
      <protection hidden="1"/>
    </xf>
    <xf numFmtId="2" fontId="34" fillId="26" borderId="30" xfId="0" applyNumberFormat="1" applyFont="1" applyFill="1" applyBorder="1" applyAlignment="1" applyProtection="1">
      <alignment horizontal="center" vertical="center" wrapText="1" readingOrder="1"/>
      <protection hidden="1"/>
    </xf>
    <xf numFmtId="0" fontId="34" fillId="27" borderId="30" xfId="0" applyFont="1" applyFill="1" applyBorder="1" applyAlignment="1" applyProtection="1">
      <alignment horizontal="center" vertical="center" wrapText="1" readingOrder="1"/>
      <protection hidden="1"/>
    </xf>
    <xf numFmtId="2" fontId="28" fillId="27" borderId="30" xfId="0" applyNumberFormat="1" applyFont="1" applyFill="1" applyBorder="1" applyAlignment="1" applyProtection="1">
      <alignment horizontal="center" vertical="center" wrapText="1" readingOrder="1"/>
      <protection hidden="1"/>
    </xf>
    <xf numFmtId="0" fontId="34" fillId="28" borderId="30" xfId="0" applyFont="1" applyFill="1" applyBorder="1" applyAlignment="1" applyProtection="1">
      <alignment horizontal="center" vertical="center" wrapText="1" readingOrder="1"/>
      <protection hidden="1"/>
    </xf>
    <xf numFmtId="2" fontId="34" fillId="28" borderId="30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8" borderId="30" xfId="0" applyNumberFormat="1" applyFont="1" applyFill="1" applyBorder="1" applyAlignment="1" applyProtection="1">
      <alignment horizontal="center" vertical="center" readingOrder="1"/>
      <protection hidden="1"/>
    </xf>
    <xf numFmtId="2" fontId="28" fillId="28" borderId="30" xfId="0" applyNumberFormat="1" applyFont="1" applyFill="1" applyBorder="1" applyAlignment="1" applyProtection="1">
      <alignment horizontal="center" vertical="center" wrapText="1" readingOrder="1"/>
      <protection hidden="1"/>
    </xf>
    <xf numFmtId="2" fontId="28" fillId="25" borderId="30" xfId="0" applyNumberFormat="1" applyFont="1" applyFill="1" applyBorder="1" applyAlignment="1" applyProtection="1">
      <alignment horizontal="center" vertical="center" wrapText="1" readingOrder="1"/>
      <protection hidden="1"/>
    </xf>
    <xf numFmtId="0" fontId="38" fillId="0" borderId="0" xfId="0" applyFont="1" applyAlignment="1" applyProtection="1">
      <alignment horizontal="right"/>
      <protection hidden="1"/>
    </xf>
    <xf numFmtId="0" fontId="38" fillId="0" borderId="0" xfId="0" applyFont="1" applyProtection="1">
      <protection hidden="1"/>
    </xf>
    <xf numFmtId="0" fontId="41" fillId="0" borderId="0" xfId="0" applyFont="1" applyAlignment="1" applyProtection="1">
      <alignment horizontal="right" vertical="top"/>
      <protection hidden="1"/>
    </xf>
    <xf numFmtId="0" fontId="16" fillId="21" borderId="13" xfId="0" applyFont="1" applyFill="1" applyBorder="1" applyAlignment="1" applyProtection="1">
      <alignment horizontal="center" vertical="top" wrapText="1"/>
      <protection hidden="1"/>
    </xf>
    <xf numFmtId="0" fontId="16" fillId="21" borderId="13" xfId="0" applyFont="1" applyFill="1" applyBorder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center"/>
      <protection hidden="1"/>
    </xf>
    <xf numFmtId="0" fontId="1" fillId="0" borderId="4" xfId="0" applyFont="1" applyBorder="1" applyAlignment="1" applyProtection="1">
      <alignment vertical="top" wrapText="1"/>
      <protection hidden="1"/>
    </xf>
    <xf numFmtId="0" fontId="1" fillId="0" borderId="12" xfId="0" applyFont="1" applyBorder="1" applyAlignment="1" applyProtection="1">
      <alignment vertical="top" wrapText="1"/>
      <protection hidden="1"/>
    </xf>
    <xf numFmtId="2" fontId="10" fillId="2" borderId="13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6" fillId="0" borderId="10" xfId="0" applyFont="1" applyBorder="1" applyAlignment="1" applyProtection="1">
      <alignment horizontal="right" vertical="center"/>
      <protection hidden="1"/>
    </xf>
    <xf numFmtId="2" fontId="6" fillId="0" borderId="5" xfId="0" applyNumberFormat="1" applyFont="1" applyBorder="1" applyAlignment="1" applyProtection="1">
      <alignment horizontal="center" vertical="center" wrapText="1"/>
      <protection hidden="1"/>
    </xf>
    <xf numFmtId="2" fontId="6" fillId="0" borderId="6" xfId="0" applyNumberFormat="1" applyFont="1" applyBorder="1" applyAlignment="1" applyProtection="1">
      <alignment horizontal="center" vertical="center" wrapText="1"/>
      <protection hidden="1"/>
    </xf>
    <xf numFmtId="2" fontId="6" fillId="0" borderId="10" xfId="0" applyNumberFormat="1" applyFont="1" applyBorder="1" applyAlignment="1" applyProtection="1">
      <alignment horizontal="center" vertical="center" wrapText="1"/>
      <protection hidden="1"/>
    </xf>
    <xf numFmtId="2" fontId="6" fillId="0" borderId="11" xfId="0" applyNumberFormat="1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protection hidden="1"/>
    </xf>
    <xf numFmtId="4" fontId="10" fillId="2" borderId="13" xfId="0" applyNumberFormat="1" applyFont="1" applyFill="1" applyBorder="1" applyAlignment="1" applyProtection="1">
      <alignment horizontal="center"/>
      <protection locked="0"/>
    </xf>
    <xf numFmtId="0" fontId="10" fillId="2" borderId="13" xfId="0" applyNumberFormat="1" applyFont="1" applyFill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right" vertical="center" wrapText="1"/>
      <protection hidden="1"/>
    </xf>
    <xf numFmtId="0" fontId="6" fillId="0" borderId="5" xfId="0" applyFont="1" applyBorder="1" applyAlignment="1" applyProtection="1">
      <alignment horizontal="right" vertical="center" wrapText="1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0" xfId="0" applyFont="1" applyBorder="1" applyAlignment="1" applyProtection="1">
      <alignment horizontal="right" vertical="center" wrapTex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10" fillId="2" borderId="13" xfId="1" applyNumberFormat="1" applyFont="1" applyFill="1" applyBorder="1" applyAlignment="1" applyProtection="1">
      <alignment horizontal="center" vertical="top"/>
      <protection locked="0"/>
    </xf>
    <xf numFmtId="2" fontId="7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7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protection locked="0"/>
    </xf>
    <xf numFmtId="2" fontId="24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3" xfId="0" applyNumberFormat="1" applyFont="1" applyBorder="1" applyAlignment="1" applyProtection="1">
      <protection locked="0"/>
    </xf>
    <xf numFmtId="0" fontId="6" fillId="0" borderId="13" xfId="0" applyFont="1" applyBorder="1" applyAlignment="1" applyProtection="1">
      <alignment horizontal="right" vertical="center"/>
      <protection hidden="1"/>
    </xf>
    <xf numFmtId="165" fontId="24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0" borderId="1" xfId="0" applyNumberFormat="1" applyFont="1" applyBorder="1" applyAlignment="1" applyProtection="1">
      <alignment horizontal="center" vertical="center"/>
      <protection hidden="1"/>
    </xf>
    <xf numFmtId="2" fontId="8" fillId="0" borderId="2" xfId="0" applyNumberFormat="1" applyFont="1" applyBorder="1" applyAlignment="1" applyProtection="1">
      <alignment horizontal="center" vertical="center"/>
      <protection hidden="1"/>
    </xf>
    <xf numFmtId="2" fontId="8" fillId="0" borderId="3" xfId="0" applyNumberFormat="1" applyFont="1" applyBorder="1" applyAlignment="1" applyProtection="1">
      <alignment horizontal="center" vertical="center"/>
      <protection hidden="1"/>
    </xf>
    <xf numFmtId="2" fontId="8" fillId="0" borderId="6" xfId="0" applyNumberFormat="1" applyFont="1" applyBorder="1" applyAlignment="1" applyProtection="1">
      <alignment horizontal="center" vertical="center" wrapText="1"/>
      <protection hidden="1"/>
    </xf>
    <xf numFmtId="2" fontId="8" fillId="0" borderId="11" xfId="0" applyNumberFormat="1" applyFont="1" applyBorder="1" applyAlignment="1" applyProtection="1">
      <alignment horizontal="center" vertical="center" wrapText="1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6" xfId="0" applyNumberFormat="1" applyFont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hidden="1"/>
    </xf>
    <xf numFmtId="2" fontId="6" fillId="0" borderId="11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0" fillId="2" borderId="13" xfId="1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right" vertical="center"/>
      <protection hidden="1"/>
    </xf>
    <xf numFmtId="2" fontId="2" fillId="0" borderId="5" xfId="0" applyNumberFormat="1" applyFont="1" applyBorder="1" applyAlignment="1" applyProtection="1">
      <alignment horizontal="center" vertical="center" wrapText="1"/>
      <protection hidden="1"/>
    </xf>
    <xf numFmtId="2" fontId="2" fillId="0" borderId="6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 applyProtection="1">
      <alignment horizontal="center" vertical="center" wrapText="1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/>
      <protection hidden="1"/>
    </xf>
    <xf numFmtId="2" fontId="8" fillId="0" borderId="4" xfId="0" applyNumberFormat="1" applyFont="1" applyBorder="1" applyAlignment="1" applyProtection="1">
      <alignment horizontal="center" vertical="center"/>
      <protection hidden="1"/>
    </xf>
    <xf numFmtId="2" fontId="8" fillId="0" borderId="8" xfId="0" applyNumberFormat="1" applyFont="1" applyBorder="1" applyAlignment="1" applyProtection="1">
      <alignment horizontal="center" vertical="center"/>
      <protection hidden="1"/>
    </xf>
    <xf numFmtId="2" fontId="8" fillId="0" borderId="12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7" fillId="22" borderId="7" xfId="0" applyFont="1" applyFill="1" applyBorder="1" applyAlignment="1" applyProtection="1">
      <alignment horizontal="center" vertical="top"/>
      <protection hidden="1"/>
    </xf>
    <xf numFmtId="0" fontId="27" fillId="22" borderId="5" xfId="0" applyFont="1" applyFill="1" applyBorder="1" applyAlignment="1" applyProtection="1">
      <alignment horizontal="center" vertical="top"/>
      <protection hidden="1"/>
    </xf>
    <xf numFmtId="0" fontId="27" fillId="22" borderId="6" xfId="0" applyFont="1" applyFill="1" applyBorder="1" applyAlignment="1" applyProtection="1">
      <alignment horizontal="center" vertical="top"/>
      <protection hidden="1"/>
    </xf>
    <xf numFmtId="0" fontId="18" fillId="22" borderId="9" xfId="0" applyFont="1" applyFill="1" applyBorder="1" applyAlignment="1" applyProtection="1">
      <alignment horizontal="center"/>
      <protection hidden="1"/>
    </xf>
    <xf numFmtId="0" fontId="18" fillId="22" borderId="10" xfId="0" applyFont="1" applyFill="1" applyBorder="1" applyAlignment="1" applyProtection="1">
      <alignment horizontal="center"/>
      <protection hidden="1"/>
    </xf>
    <xf numFmtId="0" fontId="18" fillId="22" borderId="11" xfId="0" applyFont="1" applyFill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20" fillId="0" borderId="2" xfId="0" applyFont="1" applyBorder="1" applyAlignment="1" applyProtection="1">
      <alignment horizontal="left" vertical="center"/>
      <protection hidden="1"/>
    </xf>
    <xf numFmtId="0" fontId="20" fillId="0" borderId="3" xfId="0" applyFont="1" applyBorder="1" applyAlignment="1" applyProtection="1">
      <alignment horizontal="left" vertical="center"/>
      <protection hidden="1"/>
    </xf>
    <xf numFmtId="0" fontId="20" fillId="0" borderId="1" xfId="0" applyFont="1" applyFill="1" applyBorder="1" applyAlignment="1" applyProtection="1">
      <alignment horizontal="left" vertical="center"/>
      <protection hidden="1"/>
    </xf>
    <xf numFmtId="0" fontId="20" fillId="0" borderId="2" xfId="0" applyFont="1" applyFill="1" applyBorder="1" applyAlignment="1" applyProtection="1">
      <alignment horizontal="left" vertical="center"/>
      <protection hidden="1"/>
    </xf>
    <xf numFmtId="0" fontId="20" fillId="0" borderId="3" xfId="0" applyFont="1" applyFill="1" applyBorder="1" applyAlignment="1" applyProtection="1">
      <alignment horizontal="left" vertical="center"/>
      <protection hidden="1"/>
    </xf>
    <xf numFmtId="0" fontId="16" fillId="3" borderId="14" xfId="0" applyFont="1" applyFill="1" applyBorder="1" applyAlignment="1" applyProtection="1">
      <alignment horizontal="left"/>
      <protection locked="0"/>
    </xf>
    <xf numFmtId="0" fontId="16" fillId="3" borderId="15" xfId="0" applyFont="1" applyFill="1" applyBorder="1" applyAlignment="1" applyProtection="1">
      <alignment horizontal="left"/>
      <protection locked="0"/>
    </xf>
    <xf numFmtId="0" fontId="16" fillId="3" borderId="16" xfId="0" applyFont="1" applyFill="1" applyBorder="1" applyAlignment="1" applyProtection="1">
      <alignment horizontal="left"/>
      <protection locked="0"/>
    </xf>
    <xf numFmtId="0" fontId="15" fillId="6" borderId="13" xfId="0" applyFont="1" applyFill="1" applyBorder="1" applyAlignment="1" applyProtection="1">
      <alignment vertical="center"/>
      <protection hidden="1"/>
    </xf>
    <xf numFmtId="0" fontId="15" fillId="5" borderId="13" xfId="0" applyFont="1" applyFill="1" applyBorder="1" applyAlignment="1" applyProtection="1">
      <alignment vertical="center"/>
      <protection hidden="1"/>
    </xf>
    <xf numFmtId="0" fontId="26" fillId="5" borderId="13" xfId="0" applyFont="1" applyFill="1" applyBorder="1" applyAlignment="1" applyProtection="1">
      <alignment vertical="center"/>
      <protection hidden="1"/>
    </xf>
    <xf numFmtId="0" fontId="15" fillId="7" borderId="13" xfId="0" applyFont="1" applyFill="1" applyBorder="1" applyAlignment="1" applyProtection="1">
      <alignment vertical="center"/>
      <protection hidden="1"/>
    </xf>
    <xf numFmtId="0" fontId="26" fillId="7" borderId="1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protection hidden="1"/>
    </xf>
    <xf numFmtId="0" fontId="40" fillId="3" borderId="0" xfId="0" applyFont="1" applyFill="1" applyAlignment="1" applyProtection="1">
      <alignment horizontal="left" vertical="top" wrapText="1"/>
      <protection hidden="1"/>
    </xf>
    <xf numFmtId="0" fontId="34" fillId="32" borderId="31" xfId="0" applyFont="1" applyFill="1" applyBorder="1" applyAlignment="1" applyProtection="1">
      <alignment horizontal="center" vertical="center" wrapText="1" readingOrder="1"/>
      <protection hidden="1"/>
    </xf>
    <xf numFmtId="0" fontId="34" fillId="32" borderId="32" xfId="0" applyFont="1" applyFill="1" applyBorder="1" applyAlignment="1" applyProtection="1">
      <alignment horizontal="center" vertical="center" wrapText="1" readingOrder="1"/>
      <protection hidden="1"/>
    </xf>
    <xf numFmtId="0" fontId="32" fillId="30" borderId="31" xfId="0" applyFont="1" applyFill="1" applyBorder="1" applyAlignment="1" applyProtection="1">
      <alignment horizontal="center" vertical="center" wrapText="1" readingOrder="1"/>
      <protection hidden="1"/>
    </xf>
    <xf numFmtId="0" fontId="32" fillId="30" borderId="32" xfId="0" applyFont="1" applyFill="1" applyBorder="1" applyAlignment="1" applyProtection="1">
      <alignment horizontal="center" vertical="center" wrapText="1" readingOrder="1"/>
      <protection hidden="1"/>
    </xf>
    <xf numFmtId="0" fontId="29" fillId="23" borderId="19" xfId="0" applyFont="1" applyFill="1" applyBorder="1" applyAlignment="1" applyProtection="1">
      <alignment horizontal="center" vertical="center" wrapText="1" readingOrder="1"/>
      <protection hidden="1"/>
    </xf>
    <xf numFmtId="0" fontId="29" fillId="23" borderId="20" xfId="0" applyFont="1" applyFill="1" applyBorder="1" applyAlignment="1" applyProtection="1">
      <alignment horizontal="center" vertical="center" wrapText="1" readingOrder="1"/>
      <protection hidden="1"/>
    </xf>
    <xf numFmtId="0" fontId="29" fillId="23" borderId="21" xfId="0" applyFont="1" applyFill="1" applyBorder="1" applyAlignment="1" applyProtection="1">
      <alignment horizontal="center" vertical="center" wrapText="1" readingOrder="1"/>
      <protection hidden="1"/>
    </xf>
    <xf numFmtId="0" fontId="29" fillId="23" borderId="19" xfId="0" applyFont="1" applyFill="1" applyBorder="1" applyAlignment="1" applyProtection="1">
      <alignment horizontal="center" vertical="center" readingOrder="1"/>
      <protection hidden="1"/>
    </xf>
    <xf numFmtId="0" fontId="29" fillId="23" borderId="20" xfId="0" applyFont="1" applyFill="1" applyBorder="1" applyAlignment="1" applyProtection="1">
      <alignment horizontal="center" vertical="center" readingOrder="1"/>
      <protection hidden="1"/>
    </xf>
    <xf numFmtId="0" fontId="29" fillId="23" borderId="21" xfId="0" applyFont="1" applyFill="1" applyBorder="1" applyAlignment="1" applyProtection="1">
      <alignment horizontal="center" vertical="center" readingOrder="1"/>
      <protection hidden="1"/>
    </xf>
    <xf numFmtId="0" fontId="37" fillId="0" borderId="28" xfId="0" applyFont="1" applyBorder="1" applyAlignment="1" applyProtection="1">
      <alignment horizontal="center"/>
      <protection hidden="1"/>
    </xf>
    <xf numFmtId="0" fontId="36" fillId="24" borderId="22" xfId="0" applyFont="1" applyFill="1" applyBorder="1" applyAlignment="1" applyProtection="1">
      <alignment horizontal="center" vertical="center" readingOrder="1"/>
      <protection hidden="1"/>
    </xf>
    <xf numFmtId="0" fontId="36" fillId="24" borderId="23" xfId="0" applyFont="1" applyFill="1" applyBorder="1" applyAlignment="1" applyProtection="1">
      <alignment horizontal="center" vertical="center" readingOrder="1"/>
      <protection hidden="1"/>
    </xf>
    <xf numFmtId="0" fontId="39" fillId="24" borderId="22" xfId="0" applyFont="1" applyFill="1" applyBorder="1" applyAlignment="1" applyProtection="1">
      <alignment horizontal="center" vertical="center" readingOrder="1"/>
      <protection hidden="1"/>
    </xf>
    <xf numFmtId="0" fontId="39" fillId="24" borderId="23" xfId="0" applyFont="1" applyFill="1" applyBorder="1" applyAlignment="1" applyProtection="1">
      <alignment horizontal="center" vertical="center" readingOrder="1"/>
      <protection hidden="1"/>
    </xf>
    <xf numFmtId="0" fontId="35" fillId="24" borderId="24" xfId="0" applyFont="1" applyFill="1" applyBorder="1" applyAlignment="1" applyProtection="1">
      <alignment horizontal="center" vertical="center" readingOrder="1"/>
      <protection hidden="1"/>
    </xf>
    <xf numFmtId="0" fontId="35" fillId="24" borderId="25" xfId="0" applyFont="1" applyFill="1" applyBorder="1" applyAlignment="1" applyProtection="1">
      <alignment horizontal="center" vertical="center" readingOrder="1"/>
      <protection hidden="1"/>
    </xf>
    <xf numFmtId="0" fontId="35" fillId="24" borderId="26" xfId="0" applyFont="1" applyFill="1" applyBorder="1" applyAlignment="1" applyProtection="1">
      <alignment horizontal="center" vertical="center" readingOrder="1"/>
      <protection hidden="1"/>
    </xf>
    <xf numFmtId="0" fontId="35" fillId="24" borderId="27" xfId="0" applyFont="1" applyFill="1" applyBorder="1" applyAlignment="1" applyProtection="1">
      <alignment horizontal="center" vertical="center" readingOrder="1"/>
      <protection hidden="1"/>
    </xf>
    <xf numFmtId="0" fontId="35" fillId="24" borderId="28" xfId="0" applyFont="1" applyFill="1" applyBorder="1" applyAlignment="1" applyProtection="1">
      <alignment horizontal="center" vertical="center" readingOrder="1"/>
      <protection hidden="1"/>
    </xf>
    <xf numFmtId="0" fontId="35" fillId="24" borderId="29" xfId="0" applyFont="1" applyFill="1" applyBorder="1" applyAlignment="1" applyProtection="1">
      <alignment horizontal="center" vertical="center" readingOrder="1"/>
      <protection hidden="1"/>
    </xf>
    <xf numFmtId="0" fontId="34" fillId="24" borderId="22" xfId="0" applyFont="1" applyFill="1" applyBorder="1" applyAlignment="1" applyProtection="1">
      <alignment horizontal="center" vertical="center" wrapText="1" readingOrder="1"/>
      <protection hidden="1"/>
    </xf>
    <xf numFmtId="0" fontId="34" fillId="24" borderId="23" xfId="0" applyFont="1" applyFill="1" applyBorder="1" applyAlignment="1" applyProtection="1">
      <alignment horizontal="center" vertical="center" wrapText="1" readingOrder="1"/>
      <protection hidden="1"/>
    </xf>
    <xf numFmtId="0" fontId="33" fillId="24" borderId="22" xfId="0" applyFont="1" applyFill="1" applyBorder="1" applyAlignment="1" applyProtection="1">
      <alignment vertical="top" wrapText="1"/>
      <protection hidden="1"/>
    </xf>
    <xf numFmtId="0" fontId="33" fillId="24" borderId="23" xfId="0" applyFont="1" applyFill="1" applyBorder="1" applyAlignment="1" applyProtection="1">
      <alignment vertical="top" wrapText="1"/>
      <protection hidden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0000CC"/>
      <color rgb="FF66FFFF"/>
      <color rgb="FFDAE3F3"/>
      <color rgb="FFCEFEE8"/>
      <color rgb="FF00FF00"/>
      <color rgb="FFFFCCFF"/>
      <color rgb="FFC5FFC5"/>
      <color rgb="FFFF0066"/>
      <color rgb="FFFFFF66"/>
      <color rgb="FFFF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66FFFF"/>
  </sheetPr>
  <dimension ref="A1:CQ44"/>
  <sheetViews>
    <sheetView showGridLines="0" tabSelected="1" zoomScale="70" zoomScaleNormal="7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O15" sqref="O15"/>
    </sheetView>
  </sheetViews>
  <sheetFormatPr defaultColWidth="9.140625" defaultRowHeight="21" x14ac:dyDescent="0.35"/>
  <cols>
    <col min="1" max="1" width="75.42578125" style="5" customWidth="1"/>
    <col min="2" max="10" width="4" style="5" customWidth="1"/>
    <col min="11" max="11" width="17.85546875" style="5" customWidth="1"/>
    <col min="12" max="14" width="9.140625" style="5" customWidth="1"/>
    <col min="15" max="16" width="9.140625" style="5"/>
    <col min="17" max="78" width="9.140625" style="5" customWidth="1"/>
    <col min="79" max="95" width="9.140625" style="5" hidden="1" customWidth="1"/>
    <col min="96" max="16384" width="9.140625" style="5"/>
  </cols>
  <sheetData>
    <row r="1" spans="1:95" ht="26.25" x14ac:dyDescent="0.4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95" ht="27" thickBot="1" x14ac:dyDescent="0.45">
      <c r="A2" s="185" t="s">
        <v>62</v>
      </c>
      <c r="B2" s="186"/>
      <c r="C2" s="186"/>
      <c r="D2" s="186"/>
      <c r="E2" s="186"/>
      <c r="F2" s="186"/>
      <c r="G2" s="186"/>
      <c r="H2" s="186"/>
      <c r="I2" s="186"/>
      <c r="J2" s="186"/>
      <c r="K2" s="187"/>
    </row>
    <row r="3" spans="1:95" ht="26.25" x14ac:dyDescent="0.4">
      <c r="A3" s="30" t="s">
        <v>43</v>
      </c>
      <c r="B3" s="31" t="s">
        <v>37</v>
      </c>
      <c r="C3" s="32"/>
      <c r="D3" s="33"/>
      <c r="E3" s="32"/>
      <c r="F3" s="21">
        <v>1</v>
      </c>
      <c r="G3" s="33"/>
      <c r="H3" s="33"/>
      <c r="I3" s="33"/>
      <c r="J3" s="33"/>
      <c r="K3" s="34"/>
    </row>
    <row r="4" spans="1:95" ht="23.25" x14ac:dyDescent="0.35">
      <c r="A4" s="111" t="s">
        <v>5</v>
      </c>
      <c r="B4" s="144" t="s">
        <v>40</v>
      </c>
      <c r="C4" s="144"/>
      <c r="D4" s="144"/>
      <c r="E4" s="144"/>
      <c r="F4" s="144"/>
      <c r="G4" s="144"/>
      <c r="H4" s="144"/>
      <c r="I4" s="144"/>
      <c r="J4" s="144"/>
      <c r="K4" s="145" t="s">
        <v>1</v>
      </c>
    </row>
    <row r="5" spans="1:95" x14ac:dyDescent="0.35">
      <c r="A5" s="112"/>
      <c r="B5" s="148" t="s">
        <v>2</v>
      </c>
      <c r="C5" s="149"/>
      <c r="D5" s="149"/>
      <c r="E5" s="149"/>
      <c r="F5" s="150"/>
      <c r="G5" s="151" t="s">
        <v>3</v>
      </c>
      <c r="H5" s="152"/>
      <c r="I5" s="152"/>
      <c r="J5" s="153"/>
      <c r="K5" s="146"/>
    </row>
    <row r="6" spans="1:95" x14ac:dyDescent="0.35">
      <c r="A6" s="113"/>
      <c r="B6" s="148" t="s">
        <v>4</v>
      </c>
      <c r="C6" s="149"/>
      <c r="D6" s="149"/>
      <c r="E6" s="149"/>
      <c r="F6" s="150"/>
      <c r="G6" s="154"/>
      <c r="H6" s="155"/>
      <c r="I6" s="155"/>
      <c r="J6" s="156"/>
      <c r="K6" s="147"/>
    </row>
    <row r="7" spans="1:95" ht="23.25" x14ac:dyDescent="0.35">
      <c r="A7" s="97" t="s">
        <v>0</v>
      </c>
      <c r="B7" s="9" t="s">
        <v>61</v>
      </c>
      <c r="C7" s="10" t="s">
        <v>61</v>
      </c>
      <c r="D7" s="11"/>
      <c r="E7" s="12"/>
      <c r="F7" s="13"/>
      <c r="G7" s="14"/>
      <c r="H7" s="15"/>
      <c r="I7" s="19"/>
      <c r="J7" s="20"/>
      <c r="K7" s="122" t="str">
        <f>IF(OR(A2="",F3=""),"",IF(AND(F3&lt;&gt;1,F3&lt;&gt;2,F3&lt;&gt;3),"Error",IF(AND(F3=1,OR(COUNTIF(D7:J7,"")&lt;&gt;7,B8&lt;&gt;"")),"Error",IF(AND(F3=1,COUNTIF(B7:C7,"Y")=2,COUNTIF(C8:H8,"Y")=6),"ผ่าน",IF(AND(OR(F3=2,F3=3),OR(G7="",G7="Y"),COUNTIF(B7:F7,"Y")=5,COUNTIF(H7:J7,"Y")=3,COUNTIF(C8:H8,"Y")=6),"ผ่าน","ไม่ผ่าน")))))</f>
        <v>ผ่าน</v>
      </c>
      <c r="L7" s="35" t="str">
        <f>IF(AND(A2="",B7&lt;&gt;""),"ต้องใส่ชื่อหลักสูตร",IF(AND(F3="",B7&lt;&gt;""),"ต้องใส่เลขแทนระดับปริญญา",IF(AND(F3&lt;&gt;1,F3&lt;&gt;2,F3&lt;&gt;3),"ตัวเลขแทนระดับปริญญาต้องเป็น 1, 2, หรือ 3",IF(AND(F3=1,K7="Error"),"ปริญญาตรีไม่ต้องประเมินข้อ 3 - ข้อ 10",""))))</f>
        <v/>
      </c>
      <c r="CA7" s="26" t="str">
        <f>IF(OR(F3=2,F3=3,B7=""),"ใส่ผลประเมินเกณฑ์ข้อ 1",IF(OR(B7="Y",B7="N"),"","เกณฑ์ข้อ 1 ต้องใส่ Y หรือ N"))</f>
        <v/>
      </c>
      <c r="CB7" s="26" t="str">
        <f>IF(OR(F3=2,F3=3,C7=""),"ใส่ผลประเมินเกณฑ์ข้อ 2",IF(OR(C7="Y",C7="N"),"","เกณฑ์ข้อ 2 ต้องใส่ Y หรือ N"))</f>
        <v/>
      </c>
      <c r="CC7" s="26" t="str">
        <f>IF(OR(F3=2,F3=3,D7=""),"","ปริญญาตรีไม่ต้องประเมินเกณฑ์ ข้อ 3")</f>
        <v/>
      </c>
      <c r="CD7" s="26" t="str">
        <f>IF(OR(F3=2,F3=3,E7=""),"","ปริญญาตรีไม่ต้องประเมินเกณฑ์ ข้อ 4")</f>
        <v/>
      </c>
      <c r="CE7" s="26" t="str">
        <f>IF(OR(F3=2,F3=3,F7=""),"","ปริญญาตรีไม่ต้องประเมินเกณฑ์ ข้อ 5")</f>
        <v/>
      </c>
      <c r="CF7" s="26" t="str">
        <f>IF(OR(F3=2,F3=3,G7=""),"","ปริญญาตรีไม่ต้องประเมินเกณฑ์ ข้อ 6")</f>
        <v/>
      </c>
      <c r="CG7" s="26" t="str">
        <f>IF(OR(F3=2,F3=3,H7=""),"","ปริญญาตรีไม่ต้องประเมินเกณฑ์ ข้อ 7")</f>
        <v/>
      </c>
      <c r="CH7" s="26" t="str">
        <f>IF(OR(F3=2,F3=3,I7=""),"","ปริญญาตรีไม่ต้องประเมินเกณฑ์ ข้อ 8")</f>
        <v/>
      </c>
      <c r="CI7" s="26" t="str">
        <f>IF(OR(F3=2,F3=3,J7=""),"","ปริญญาตรีไม่ต้องประเมินเกณฑ์ ข้อ 9")</f>
        <v/>
      </c>
      <c r="CJ7" s="26" t="str">
        <f>IF(OR(F3=2,F3=3,B8=""),"","ปริญญาตรีไม่ต้องประเมินเกณฑ์ ข้อ 10")</f>
        <v/>
      </c>
      <c r="CK7" s="26" t="str">
        <f>IF(OR(F3=2,F3=3,C8=""),"ใส่ผลประเมินเกณฑ์ข้อ 11",IF(OR(C8="Y",C8="N"),"","เกณฑ์ข้อ 11 ต้องใส่ Y หรือ N"))</f>
        <v/>
      </c>
      <c r="CL7" s="26" t="str">
        <f>IF(OR(F3=2,F3=3,D8=""),"ใส่ผลประเมินเกณฑ์ข้อ 12.1",IF(OR(D8="Y",D8="N"),"","เกณฑ์ข้อ 12.1 ต้องใส่ Y หรือ N"))</f>
        <v/>
      </c>
      <c r="CM7" s="26" t="str">
        <f>IF(OR(F3=2,F3=3,E8=""),"ใส่ผลประเมินเกณฑ์ข้อ 12.2",IF(OR(E8="Y",E8="N"),"","เกณฑ์ข้อ 12.2 ต้องใส่ Y หรือ N"))</f>
        <v/>
      </c>
      <c r="CN7" s="26" t="str">
        <f>IF(OR(F3=2,F3=3,F8=""),"ใส่ผลประเมินเกณฑ์ข้อ 12.3",IF(OR(F8="Y",F8="N"),"","เกณฑ์ข้อ 12.3 ต้องใส่ Y หรือ N"))</f>
        <v/>
      </c>
      <c r="CO7" s="26" t="str">
        <f>IF(OR(F3=2,F3=3,G8=""),"ใส่ผลประเมินเกณฑ์ข้อ 12.4",IF(OR(G8="Y",G8="N"),"","เกณฑ์ข้อ 12.4 ต้องใส่ Y หรือ N"))</f>
        <v/>
      </c>
      <c r="CP7" s="26" t="str">
        <f>IF(OR(F3=2,F3=3,H8=""),"ใส่ผลประเมินเกณฑ์ข้อ 12.5",IF(OR(H8="Y",H8="N"),"","เกณฑ์ข้อ 12.5 ต้องใส่ Y หรือ N"))</f>
        <v/>
      </c>
      <c r="CQ7" s="27" t="str">
        <f>IF(AND(CA7="",CB7="",CC7="",CD7="",CE7="",CF7="",CG7="",CH7="",CI7="",CJ7="",CK7="",CL7="",CM7="",CN7="",CO7="",CP7=""),"",IF(CA7&lt;&gt;"",CA7,IF(CB7&lt;&gt;"",CB7,IF(CC7&lt;&gt;"",CC7,IF(CD7&lt;&gt;"",CD7,IF(CE7&lt;&gt;"",CE7,IF(CF7&lt;&gt;"",CF7,IF(CG7&lt;&gt;"",CG7,IF(CH7&lt;&gt;"",CH7,IF(CI7&lt;&gt;"",CI7,IF(CJ7&lt;&gt;"",CJ7,IF(CK7&lt;&gt;"",CK7,IF(CL7&lt;&gt;"",CL7,IF(CM7&lt;&gt;"",CM7,IF(CN7&lt;&gt;"",CN7,IF(CO7&lt;&gt;"",CO7,IF(CP7&lt;&gt;"",CP7,"Error")))))))))))))))))</f>
        <v/>
      </c>
    </row>
    <row r="8" spans="1:95" ht="23.25" x14ac:dyDescent="0.35">
      <c r="A8" s="108"/>
      <c r="B8" s="16"/>
      <c r="C8" s="17" t="s">
        <v>61</v>
      </c>
      <c r="D8" s="18" t="s">
        <v>61</v>
      </c>
      <c r="E8" s="18" t="s">
        <v>61</v>
      </c>
      <c r="F8" s="18" t="s">
        <v>61</v>
      </c>
      <c r="G8" s="18" t="s">
        <v>61</v>
      </c>
      <c r="H8" s="18" t="s">
        <v>61</v>
      </c>
      <c r="I8" s="109" t="s">
        <v>38</v>
      </c>
      <c r="J8" s="110"/>
      <c r="K8" s="123"/>
      <c r="L8" s="36" t="str">
        <f>IF(AND(A2="",COUNTIF(B7:J7,"")=9,COUNTIF(B8:H8,"")=7),"",IF(F3=1,CQ7,IF(OR(F3=2,F3=3),CQ8,"")))</f>
        <v/>
      </c>
      <c r="N8" s="37"/>
      <c r="CA8" s="26" t="str">
        <f>IF(OR(F3=1,B7=""),"ใส่ผลประเมินเกณฑ์ข้อ 1",IF(OR(B7="Y",B7="N"),"","เกณฑ์ข้อ 1 ต้องใส่ Y หรือ N"))</f>
        <v>ใส่ผลประเมินเกณฑ์ข้อ 1</v>
      </c>
      <c r="CB8" s="26" t="str">
        <f>IF(OR(F3=1,C7=""),"ใส่ผลประเมินเกณฑ์ข้อ 2",IF(OR(C7="Y",C7="N"),"","เกณฑ์ข้อ 2 ต้องใส่ Y หรือ N"))</f>
        <v>ใส่ผลประเมินเกณฑ์ข้อ 2</v>
      </c>
      <c r="CC8" s="26" t="str">
        <f>IF(OR(F3=1,D7=""),"ใส่ผลประเมินเกณฑ์ข้อ 3",IF(OR(D7="Y",D7="N"),"","เกณฑ์ข้อ 3 ต้องใส่ Y หรือ N"))</f>
        <v>ใส่ผลประเมินเกณฑ์ข้อ 3</v>
      </c>
      <c r="CD8" s="26" t="str">
        <f>IF(OR(F3=1,E7=""),"ใส่ผลประเมินเกณฑ์ข้อ 4",IF(OR(E7="Y",E7="N"),"","เกณฑ์ข้อ 4 ต้องใส่ Y หรือ N"))</f>
        <v>ใส่ผลประเมินเกณฑ์ข้อ 4</v>
      </c>
      <c r="CE8" s="26" t="str">
        <f>IF(OR(F3=1,F7=""),"ใส่ผลประเมินเกณฑ์ข้อ 5",IF(OR(F7="Y",F7="N"),"","เกณฑ์ข้อ 5 ต้องใส่ Y หรือ N"))</f>
        <v>ใส่ผลประเมินเกณฑ์ข้อ 5</v>
      </c>
      <c r="CF8" s="26" t="str">
        <f>IF(OR(F3=1,G7=""),"ถ้ามี อจ ที่ปรึกษาร่วม ให้ใส่ผลประเมินเกณฑ์ข้อ 6",IF(OR(G7="Y",G7="N"),"","เกณฑ์ข้อ 6 ต้องใส่ Y หรือ N"))</f>
        <v>ถ้ามี อจ ที่ปรึกษาร่วม ให้ใส่ผลประเมินเกณฑ์ข้อ 6</v>
      </c>
      <c r="CG8" s="26" t="str">
        <f>IF(OR(F3=1,H7=""),"ใส่ผลประเมินเกณฑ์ข้อ 7",IF(OR(H7="Y",H7="N"),"","เกณฑ์ข้อ 7 ต้องใส่ Y หรือ N"))</f>
        <v>ใส่ผลประเมินเกณฑ์ข้อ 7</v>
      </c>
      <c r="CH8" s="26" t="str">
        <f>IF(OR(F3=1,I7=""),"ใส่ผลประเมินเกณฑ์ข้อ 8",IF(OR(I7="Y",I7="N"),"","เกณฑ์ข้อ 8 ต้องใส่ Y หรือ N"))</f>
        <v>ใส่ผลประเมินเกณฑ์ข้อ 8</v>
      </c>
      <c r="CI8" s="26" t="str">
        <f>IF(OR(F3=1,J7=""),"ใส่ผลประเมินเกณฑ์ข้อ 9",IF(OR(J7="Y",J7="N"),"","เกณฑ์ข้อ 9 ต้องใส่ Y หรือ N"))</f>
        <v>ใส่ผลประเมินเกณฑ์ข้อ 9</v>
      </c>
      <c r="CJ8" s="26" t="str">
        <f>IF(OR(F3=1,B8=""),"ใส่ผลประเมินเกณฑ์ข้อ 10",IF(OR(B8="Y",B8="N"),"","เกณฑ์ข้อ 10 ต้องใส่ Y หรือ N"))</f>
        <v>ใส่ผลประเมินเกณฑ์ข้อ 10</v>
      </c>
      <c r="CK8" s="26" t="str">
        <f>IF(OR(F3=1,C8=""),"ใส่ผลประเมินเกณฑ์ข้อ 11",IF(OR(C8="Y",C8="N"),"","เกณฑ์ข้อ 11 ต้องใส่ Y หรือ N"))</f>
        <v>ใส่ผลประเมินเกณฑ์ข้อ 11</v>
      </c>
      <c r="CL8" s="26" t="str">
        <f>IF(OR(F3=1,D8=""),"ใส่ผลประเมินเกณฑ์ข้อ 12.1",IF(OR(D8="Y",D8="N"),"","เกณฑ์ข้อ 12.1 ต้องใส่ Y หรือ N"))</f>
        <v>ใส่ผลประเมินเกณฑ์ข้อ 12.1</v>
      </c>
      <c r="CM8" s="26" t="str">
        <f>IF(OR(F3=1,E8=""),"ใส่ผลประเมินเกณฑ์ข้อ 12.2",IF(OR(E8="Y",E8="N"),"","เกณฑ์ข้อ 12.2 ต้องใส่ Y หรือ N"))</f>
        <v>ใส่ผลประเมินเกณฑ์ข้อ 12.2</v>
      </c>
      <c r="CN8" s="26" t="str">
        <f>IF(OR(F3=1,F8=""),"ใส่ผลประเมินเกณฑ์ข้อ 12.3",IF(OR(F8="Y",F8="N"),"","เกณฑ์ข้อ 12.3 ต้องใส่ Y หรือ N"))</f>
        <v>ใส่ผลประเมินเกณฑ์ข้อ 12.3</v>
      </c>
      <c r="CO8" s="26" t="str">
        <f>IF(OR(F3=1,G8=""),"ใส่ผลประเมินเกณฑ์ข้อ 12.4",IF(OR(G8="Y",G8="N"),"","เกณฑ์ข้อ 12.4 ต้องใส่ Y หรือ N"))</f>
        <v>ใส่ผลประเมินเกณฑ์ข้อ 12.4</v>
      </c>
      <c r="CP8" s="26" t="str">
        <f>IF(OR(F3=1,H8=""),"ใส่ผลประเมินเกณฑ์ข้อ 12.5",IF(OR(H8="Y",H8="N"),"","เกณฑ์ข้อ 12.5 ต้องใส่ Y หรือ N"))</f>
        <v>ใส่ผลประเมินเกณฑ์ข้อ 12.5</v>
      </c>
      <c r="CQ8" s="27" t="str">
        <f>IF(AND(CA8="",CB8="",CC8="",CD8="",CE8="",CF8="",CG8="",CH8="",CI8="",CJ8="",CK8="",CL8="",CM8="",CN8="",CO8="",CP8=""),"",IF(CA8&lt;&gt;"",CA8,IF(CB8&lt;&gt;"",CB8,IF(CC8&lt;&gt;"",CC8,IF(CD8&lt;&gt;"",CD8,IF(CE8&lt;&gt;"",CE8,IF(CF8&lt;&gt;"",CF8,IF(CG8&lt;&gt;"",CG8,IF(CH8&lt;&gt;"",CH8,IF(CI8&lt;&gt;"",CI8,IF(CJ8&lt;&gt;"",CJ8,IF(CK8&lt;&gt;"",CK8,IF(CL8&lt;&gt;"",CL8,IF(CM8&lt;&gt;"",CM8,IF(CN8&lt;&gt;"",CN8,IF(CO8&lt;&gt;"",CO8,IF(CP8&lt;&gt;"",CP8,"Error")))))))))))))))))</f>
        <v>ใส่ผลประเมินเกณฑ์ข้อ 1</v>
      </c>
    </row>
    <row r="9" spans="1:95" ht="23.25" x14ac:dyDescent="0.35">
      <c r="A9" s="114" t="s">
        <v>6</v>
      </c>
      <c r="B9" s="116">
        <v>4.5999999999999996</v>
      </c>
      <c r="C9" s="116"/>
      <c r="D9" s="116"/>
      <c r="E9" s="116"/>
      <c r="F9" s="116"/>
      <c r="G9" s="118" t="str">
        <f>IF(OR(B9="",B9&lt;0,B10="",B10&lt;0,B10&lt;&gt;ROUND(B10,0)),"","คะแนนเฉลี่ย")</f>
        <v>คะแนนเฉลี่ย</v>
      </c>
      <c r="H9" s="119"/>
      <c r="I9" s="140">
        <f>IF(OR(B9="",B9&lt;0,B10="",B10&lt;0,B10&lt;&gt;ROUND(B10,0)),"",ROUND(B9/B10,2))</f>
        <v>4.5999999999999996</v>
      </c>
      <c r="J9" s="141"/>
      <c r="K9" s="138">
        <f>IF(OR(B9&lt;0,B10&lt;0,B10&lt;&gt;ROUND(B10,0)),"Error",IF(AND(B9&lt;&gt;"",B10&lt;&gt;"",I9&gt;5),"Error",IF(OR(B9="",B10=""),"",I9)))</f>
        <v>4.5999999999999996</v>
      </c>
      <c r="L9" s="35" t="str">
        <f>IF(B9&lt;0,"ผลรวมของค่าคะแนน ต้องไม่ติดลบ",IF(B10&lt;0,"จำนวนบัณฑิต ต้องไม่ติดลบ",IF(B10&lt;&gt;ROUND(B10,0),"จำนวนบัณฑิต ต้องไม่เป็นทศนิยม",IF(I9="","",IF(I9&gt;5,"คะแนนเฉลี่ย ต้องมีค่าไม่เกิน 5.00","")))))</f>
        <v/>
      </c>
    </row>
    <row r="10" spans="1:95" ht="23.25" x14ac:dyDescent="0.35">
      <c r="A10" s="115"/>
      <c r="B10" s="117">
        <v>1</v>
      </c>
      <c r="C10" s="117"/>
      <c r="D10" s="117"/>
      <c r="E10" s="117"/>
      <c r="F10" s="117"/>
      <c r="G10" s="120"/>
      <c r="H10" s="121"/>
      <c r="I10" s="142"/>
      <c r="J10" s="143"/>
      <c r="K10" s="139"/>
    </row>
    <row r="11" spans="1:95" ht="23.25" x14ac:dyDescent="0.35">
      <c r="A11" s="124" t="s">
        <v>7</v>
      </c>
      <c r="B11" s="157">
        <v>18</v>
      </c>
      <c r="C11" s="157"/>
      <c r="D11" s="157"/>
      <c r="E11" s="157"/>
      <c r="F11" s="157"/>
      <c r="G11" s="158" t="str">
        <f>IF(OR(B11="",B11&lt;0,B11&lt;&gt;ROUND(B11,0),B12="",B12&lt;=0,B12&lt;&gt;ROUND(B12,0)),"","ร้อยละ")</f>
        <v>ร้อยละ</v>
      </c>
      <c r="H11" s="159"/>
      <c r="I11" s="162">
        <f>IF(OR(B11="",B11&lt;0,B11&lt;&gt;ROUND(B11,0),B12="",B12&lt;=0,B12&lt;&gt;ROUND(B12,0)),"",ROUND(B11*100/B12,2))</f>
        <v>100</v>
      </c>
      <c r="J11" s="163"/>
      <c r="K11" s="127">
        <f>IF(F3&lt;&gt;1,"",IF(OR(B11&lt;0,B11&lt;&gt;ROUND(B11,0),B12&lt;0,B12&lt;&gt;ROUND(B12,0),AND(B11&lt;&gt;"",B12&lt;&gt;"",I11&gt;100)),"Error",IF(OR(B11="",B12=""),"",IF(I11="","",IF(ROUND(I11*5/100,2)&gt;5,5,ROUND(I11*5/100,2))))))</f>
        <v>5</v>
      </c>
      <c r="L11" s="6" t="str">
        <f>IF(OR(B11="",B12=""),"",IF(B11&lt;0,"จำนวนบัณฑิต ต้องไม่ติดลบ",IF(B12&lt;0,"จำนวนบัณฑิต ต้องไม่ติดลบ",IF(OR(B11&lt;&gt;ROUND(B11,0),B12&lt;&gt;ROUND(B12,0)),"จำนวนบัณฑิต ต้องไม่เป็นทศนิยม",IF(B12=0,"ไม่มีผู้สำเร็จการศึกษา ไม่ต้องประเมินตัวบ่งชี้นี้",IF(I11="","",IF(I11&gt;100,"จำนวนบัณฑิตที่ได้งานทำ ต้องไม่มากกว่าบัณฑิตที่ตอบแบบสำรวจทั้งหมด","")))))))</f>
        <v/>
      </c>
      <c r="M11" s="1"/>
      <c r="N11" s="1"/>
      <c r="O11" s="1"/>
      <c r="P11" s="38"/>
      <c r="Q11" s="38"/>
      <c r="R11" s="38"/>
      <c r="S11" s="38"/>
      <c r="T11" s="38"/>
      <c r="U11" s="39"/>
      <c r="V11" s="2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4"/>
      <c r="BJ11" s="4"/>
      <c r="CA11" s="3"/>
      <c r="CB11" s="3"/>
      <c r="CC11" s="3"/>
      <c r="CD11" s="3"/>
    </row>
    <row r="12" spans="1:95" ht="23.25" x14ac:dyDescent="0.35">
      <c r="A12" s="125"/>
      <c r="B12" s="126">
        <v>18</v>
      </c>
      <c r="C12" s="126"/>
      <c r="D12" s="126"/>
      <c r="E12" s="126"/>
      <c r="F12" s="126"/>
      <c r="G12" s="160"/>
      <c r="H12" s="161"/>
      <c r="I12" s="164"/>
      <c r="J12" s="165"/>
      <c r="K12" s="128"/>
      <c r="L12" s="28" t="str">
        <f>IF(B12=0,"",IF(AND(F$3=2,I11&lt;&gt;"",K11=""),"ไม่ต้องประเมินตัวบ่งชี้นี้ในหลักสูตรระดับปริญญาโท",IF(AND(F$3=3,I11&lt;&gt;"",K11=""),"ไม่ต้องประเมินตัวบ่งชี้นี้ในหลักสูตรระดับปริญญาเอก","")))</f>
        <v/>
      </c>
      <c r="M12" s="1"/>
      <c r="N12" s="1"/>
      <c r="O12" s="1"/>
      <c r="P12" s="38"/>
      <c r="Q12" s="38"/>
      <c r="R12" s="38"/>
      <c r="S12" s="38"/>
      <c r="T12" s="38"/>
      <c r="U12" s="39"/>
      <c r="V12" s="2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4"/>
      <c r="BJ12" s="4"/>
      <c r="CA12" s="3"/>
      <c r="CB12" s="3"/>
      <c r="CC12" s="3"/>
      <c r="CD12" s="3"/>
    </row>
    <row r="13" spans="1:95" ht="23.25" x14ac:dyDescent="0.35">
      <c r="A13" s="97" t="s">
        <v>8</v>
      </c>
      <c r="B13" s="116"/>
      <c r="C13" s="116"/>
      <c r="D13" s="116"/>
      <c r="E13" s="116"/>
      <c r="F13" s="116"/>
      <c r="G13" s="100" t="str">
        <f>IF(OR(B13="",B13&lt;0,B14="",B14&lt;=0,B14&lt;&gt;ROUND(B14,0)),"","ร้อยละ")</f>
        <v/>
      </c>
      <c r="H13" s="101"/>
      <c r="I13" s="104" t="str">
        <f>IF(OR(B13="",B13&lt;0,B14="",B14&lt;=0,B14&lt;&gt;ROUND(B14,0)),"",ROUNDDOWN(B13*100/B14,2))</f>
        <v/>
      </c>
      <c r="J13" s="105"/>
      <c r="K13" s="127" t="str">
        <f>IF(F3&lt;&gt;2,"",IF(OR(B13="",B14=""),"",IF(OR(B13&lt;0,B14&lt;=0,B14&lt;&gt;ROUND(B14,0)),"Error",IF(ROUNDDOWN(I13*5/40,2)&gt;5,5,ROUNDDOWN(I13*5/40,2)))))</f>
        <v/>
      </c>
      <c r="L13" s="6" t="str">
        <f>IF(OR(B13="",B14=""),"",(IF(B13&lt;0,"ผลรวมถ่วงน้ำหนัก ต้องไม่ติดลบ",IF(B14&lt;0,"จำนวนผู้สำเร็จ ต้องไม่ติดลบ",IF(B14&lt;&gt;ROUND(B14,0),"จำนวนผู้สำเร็จ ต้องไม่เป็นทศนิยม",IF(B14=0,"ไม่มีผู้สำเร็จการศึกษา ไม่ต้องประเมินตัวบ่งชี้นี้",""))))))</f>
        <v/>
      </c>
      <c r="M13" s="1"/>
      <c r="N13" s="1"/>
      <c r="O13" s="1"/>
      <c r="P13" s="38"/>
      <c r="Q13" s="38"/>
      <c r="R13" s="38"/>
      <c r="S13" s="38"/>
      <c r="T13" s="38"/>
      <c r="U13" s="39"/>
      <c r="V13" s="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4"/>
      <c r="BJ13" s="4"/>
      <c r="CA13" s="3"/>
      <c r="CB13" s="3"/>
      <c r="CC13" s="3"/>
      <c r="CD13" s="3"/>
    </row>
    <row r="14" spans="1:95" ht="23.25" x14ac:dyDescent="0.35">
      <c r="A14" s="98"/>
      <c r="B14" s="126"/>
      <c r="C14" s="126"/>
      <c r="D14" s="126"/>
      <c r="E14" s="126"/>
      <c r="F14" s="126"/>
      <c r="G14" s="102"/>
      <c r="H14" s="103"/>
      <c r="I14" s="106"/>
      <c r="J14" s="107"/>
      <c r="K14" s="128"/>
      <c r="L14" s="28" t="str">
        <f>IF(B14=0,"",IF(AND($F$3=1,I13&lt;&gt;"",K13=""),"ไม่ต้องประเมินตัวบ่งชี้นี้ในหลักสูตรระดับปริญญาตรี",IF(AND($F$3=3,I13&lt;&gt;"",K13=""),"ไม่ต้องประเมินตัวบ่งชี้นี้ในหลักสูตรระดับปริญญาเอก","")))</f>
        <v/>
      </c>
      <c r="M14" s="1"/>
      <c r="N14" s="1"/>
      <c r="O14" s="7"/>
      <c r="P14" s="40"/>
      <c r="Q14" s="38"/>
      <c r="R14" s="38"/>
      <c r="S14" s="38"/>
      <c r="T14" s="38"/>
      <c r="U14" s="39"/>
      <c r="V14" s="2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4"/>
      <c r="BJ14" s="4"/>
      <c r="CB14" s="5" t="str">
        <f>IF(OR(B7="Y",B7="N"),"","เกณฑ์ข้อ 1 ต้องใส่ Y หรือ N")</f>
        <v/>
      </c>
    </row>
    <row r="15" spans="1:95" ht="23.25" x14ac:dyDescent="0.35">
      <c r="A15" s="97" t="s">
        <v>9</v>
      </c>
      <c r="B15" s="99"/>
      <c r="C15" s="99"/>
      <c r="D15" s="99"/>
      <c r="E15" s="99"/>
      <c r="F15" s="99"/>
      <c r="G15" s="100" t="str">
        <f>IF(OR(B15="",B16&lt;=0,B16="",B16&lt;&gt;ROUND(B16,0)),"","ร้อยละ")</f>
        <v/>
      </c>
      <c r="H15" s="101"/>
      <c r="I15" s="104" t="str">
        <f>IF(OR(B15="",B16&lt;=0,B16="",B16&lt;&gt;ROUND(B16,0)),"",IF(B16=0,0,ROUNDDOWN(B15*100/B16,2)))</f>
        <v/>
      </c>
      <c r="J15" s="105"/>
      <c r="K15" s="127" t="str">
        <f>IF(F3&lt;&gt;3,"",IF(OR(B15="",B16=""),"",IF(OR(B15&lt;0,B16&lt;=0,B16&lt;&gt;ROUND(B16,0)),"Error",IF(ROUNDDOWN(I15*5/80,2)&gt;5,5,ROUNDDOWN(I15*5/80,2)))))</f>
        <v/>
      </c>
      <c r="L15" s="6" t="str">
        <f>IF(OR(B15="",B16=""),"",IF(B15&lt;0,"ผลรวมถ่วงน้ำหนัก ต้องไม่ติดลบ",IF(B16&lt;0,"จำนวนผู้สำเร็จ ต้องไม่ติดลบ",IF(B16&lt;&gt;ROUND(B16,0),"จำนวนผู้สำเร็จ ต้องไม่เป็นทศนิยม",IF(B16=0,"ไม่มีผู้สำเร็จการศึกษา ไม่ต้องประเมินตัวบ่งชี้นี้","")))))</f>
        <v/>
      </c>
      <c r="M15" s="1"/>
      <c r="N15" s="1"/>
      <c r="O15" s="8"/>
      <c r="P15" s="38"/>
      <c r="Q15" s="38"/>
      <c r="R15" s="38"/>
      <c r="S15" s="38"/>
      <c r="T15" s="38"/>
      <c r="U15" s="39"/>
      <c r="V15" s="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4"/>
      <c r="BJ15" s="4"/>
    </row>
    <row r="16" spans="1:95" ht="23.25" x14ac:dyDescent="0.35">
      <c r="A16" s="98"/>
      <c r="B16" s="126"/>
      <c r="C16" s="126"/>
      <c r="D16" s="126"/>
      <c r="E16" s="126"/>
      <c r="F16" s="126"/>
      <c r="G16" s="102"/>
      <c r="H16" s="103"/>
      <c r="I16" s="106"/>
      <c r="J16" s="107"/>
      <c r="K16" s="128"/>
      <c r="L16" s="28" t="str">
        <f>IF(B16=0,"",IF(AND($F$3=1,I15&lt;&gt;"",K15=""),"ไม่ต้องประเมินตัวบ่งชี้นี้ในหลักสูตรระดับปริญญาตรี",IF(AND($F$3=2,I15&lt;&gt;"",K15=""),"ไม่ต้องประเมินตัวบ่งชี้นี้ในหลักสูตรระดับปริญญาโท","")))</f>
        <v/>
      </c>
      <c r="M16" s="1"/>
      <c r="N16" s="1"/>
      <c r="O16" s="1"/>
      <c r="P16" s="38"/>
      <c r="Q16" s="38"/>
      <c r="R16" s="38"/>
      <c r="S16" s="38"/>
      <c r="T16" s="38"/>
      <c r="U16" s="39"/>
      <c r="V16" s="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4"/>
      <c r="BJ16" s="4"/>
    </row>
    <row r="17" spans="1:13" ht="39.950000000000003" customHeight="1" x14ac:dyDescent="0.35">
      <c r="A17" s="41" t="s">
        <v>10</v>
      </c>
      <c r="B17" s="134"/>
      <c r="C17" s="134"/>
      <c r="D17" s="134"/>
      <c r="E17" s="134"/>
      <c r="F17" s="134"/>
      <c r="G17" s="134"/>
      <c r="H17" s="134"/>
      <c r="I17" s="134"/>
      <c r="J17" s="25">
        <v>3</v>
      </c>
      <c r="K17" s="42">
        <f>IF(J17="","",IF(OR(J17&lt;0,J17&lt;&gt;ROUND(J17,0),J17&gt;5),"Error",J17))</f>
        <v>3</v>
      </c>
      <c r="L17" s="23" t="str">
        <f>IF(J17="","",(IF(J17&lt;0,"ตะแนนต้องไม่ติดลบ",IF(J17&lt;&gt;ROUND(J17,0),"คะแนนต้องไม่เป็นทศนิยม",IF(J17&gt;5,"คะแนนต้องไม่มากกว่า 5","")))))</f>
        <v/>
      </c>
    </row>
    <row r="18" spans="1:13" ht="39.950000000000003" customHeight="1" x14ac:dyDescent="0.35">
      <c r="A18" s="41" t="s">
        <v>11</v>
      </c>
      <c r="B18" s="134"/>
      <c r="C18" s="134"/>
      <c r="D18" s="134"/>
      <c r="E18" s="134"/>
      <c r="F18" s="134"/>
      <c r="G18" s="134"/>
      <c r="H18" s="134"/>
      <c r="I18" s="134"/>
      <c r="J18" s="25">
        <v>2</v>
      </c>
      <c r="K18" s="42">
        <f>IF(J18="","",IF(OR(J18&lt;0,J18&lt;&gt;ROUND(J18,0),J18&gt;5),"Error",J18))</f>
        <v>2</v>
      </c>
      <c r="L18" s="23" t="str">
        <f>IF(J18="","",(IF(J18&lt;0,"ตะแนนต้องไม่ติดลบ",IF(J18&lt;&gt;ROUND(J18,0),"คะแนนต้องไม่เป็นทศนิยม",IF(J18&gt;5,"คะแนนต้องไม่มากกว่า 5","")))))</f>
        <v/>
      </c>
    </row>
    <row r="19" spans="1:13" ht="39.950000000000003" customHeight="1" x14ac:dyDescent="0.35">
      <c r="A19" s="41" t="s">
        <v>12</v>
      </c>
      <c r="B19" s="134"/>
      <c r="C19" s="134"/>
      <c r="D19" s="134"/>
      <c r="E19" s="134"/>
      <c r="F19" s="134"/>
      <c r="G19" s="134"/>
      <c r="H19" s="134"/>
      <c r="I19" s="134"/>
      <c r="J19" s="25">
        <v>3</v>
      </c>
      <c r="K19" s="42">
        <f>IF(J19="","",IF(OR(J19&lt;0,J19&lt;&gt;ROUND(J19,0),J19&gt;5),"Error",J19))</f>
        <v>3</v>
      </c>
      <c r="L19" s="23" t="str">
        <f>IF(J19="","",(IF(J19&lt;0,"ตะแนนต้องไม่ติดลบ",IF(J19&lt;&gt;ROUND(J19,0),"คะแนนต้องไม่เป็นทศนิยม",IF(J19&gt;5,"คะแนนต้องไม่มากกว่า 5","")))))</f>
        <v/>
      </c>
    </row>
    <row r="20" spans="1:13" ht="39.950000000000003" customHeight="1" x14ac:dyDescent="0.35">
      <c r="A20" s="41" t="s">
        <v>13</v>
      </c>
      <c r="B20" s="134"/>
      <c r="C20" s="134"/>
      <c r="D20" s="134"/>
      <c r="E20" s="134"/>
      <c r="F20" s="134"/>
      <c r="G20" s="134"/>
      <c r="H20" s="134"/>
      <c r="I20" s="134"/>
      <c r="J20" s="25">
        <v>2</v>
      </c>
      <c r="K20" s="42">
        <f>IF(J20="","",IF(OR(J20&lt;0,J20&lt;&gt;ROUND(J20,0),J20&gt;5),"Error",J20))</f>
        <v>2</v>
      </c>
      <c r="L20" s="23" t="str">
        <f>IF(J20="","",(IF(J20&lt;0,"ตะแนนต้องไม่ติดลบ",IF(J20&lt;&gt;ROUND(J20,0),"คะแนนต้องไม่เป็นทศนิยม",IF(J20&gt;5,"คะแนนต้องไม่มากกว่า 5","")))))</f>
        <v/>
      </c>
    </row>
    <row r="21" spans="1:13" ht="23.25" customHeight="1" x14ac:dyDescent="0.35">
      <c r="A21" s="43" t="s">
        <v>36</v>
      </c>
      <c r="B21" s="179" t="str">
        <f>IF(AND(B22="",B23="",B24="",D22="",D23="",D24=""),"",IF($F$3=2,"ไม่ต้องประเมินตัวบ่งชี้นี้ในหลักสูตรระดับปริญญาโท",IF($F$3=3,"ไม่ต้องประเมินตัวบ่งชี้นี้ในหลักสูตรระดับปริญญาเอก","")))</f>
        <v/>
      </c>
      <c r="C21" s="180"/>
      <c r="D21" s="180"/>
      <c r="E21" s="180"/>
      <c r="F21" s="180"/>
      <c r="G21" s="180"/>
      <c r="H21" s="180"/>
      <c r="I21" s="180"/>
      <c r="J21" s="180"/>
      <c r="K21" s="181"/>
      <c r="L21" s="35" t="str">
        <f>IF(AND(D22="",D23="",D24=""),"",IF(I22="","ไม่มีผลลัพธ์ อาจารย์ประจำหลักสูตรที่มีคุณวุฒิปริญญาเอก",IF(I23="","ไม่มีผลลัพธ์ อาจารย์ประจำหลักสูตรที่ดำรงตำแหน่งทางวิชาการ",IF(I24="","ไม่มีผลลัพธ์ ผลงานทางวิชาการของอาจารย์ประจำหลักสูตร",IF(OR(D22&lt;&gt;D23,D22&lt;&gt;D24),"จำนวนอาจารย์ประจำหลักสูตร ต้องเท่ากัน","")))))</f>
        <v/>
      </c>
      <c r="M21" s="44"/>
    </row>
    <row r="22" spans="1:13" ht="28.5" x14ac:dyDescent="0.35">
      <c r="A22" s="45" t="s">
        <v>33</v>
      </c>
      <c r="B22" s="129">
        <v>0</v>
      </c>
      <c r="C22" s="130"/>
      <c r="D22" s="24">
        <v>5</v>
      </c>
      <c r="E22" s="133" t="str">
        <f>IF(OR(B22="",B22&lt;0,D22="",D22&lt;=0),"","ร้อยละ")</f>
        <v>ร้อยละ</v>
      </c>
      <c r="F22" s="115"/>
      <c r="G22" s="168">
        <f>IF(OR(B22="",B22&lt;0,D22="",D22&lt;=0),"",B22*100/D22)</f>
        <v>0</v>
      </c>
      <c r="H22" s="115"/>
      <c r="I22" s="166">
        <f>IF(OR(B22="",D22=""),"",IF(OR(B22&lt;0,D22&lt;=0,AND(G22="",G22&lt;0,G22&gt;100)),"Error",IF(G22="","",IF(ROUND(G22*5/20,2)&gt;5,5,ROUND(G22*5/20,2)))))</f>
        <v>0</v>
      </c>
      <c r="J22" s="167"/>
      <c r="K22" s="169">
        <f>IF(F3&lt;&gt;1,"",IF(OR(D22&lt;&gt;D23,D22&lt;&gt;D24),"Error",IF(OR(I22="",I22="Error",I23="",I23="Error",I24="",I24="Error"),"",ROUND(SUM(I22,I23,I24)/3,2))))</f>
        <v>0</v>
      </c>
      <c r="L22" s="46" t="str">
        <f>IF(B22&lt;0,"จำนวนอาจารย์ประจำหลักสูตรคุณวุฒิปริญญาเอก ต้องไม่ติดลบ",IF(D22&lt;0,"จำนวนอาจารย์ประจำหลักสูตรทั้งหมด ต้องไม่ติดลบ",IF(AND(B22="",D22=""),"",IF(G22="","",IF(G22&gt;100,"ค่าร้อยละต้องไม่เกิน 100","")))))</f>
        <v/>
      </c>
    </row>
    <row r="23" spans="1:13" ht="28.5" x14ac:dyDescent="0.35">
      <c r="A23" s="47" t="s">
        <v>34</v>
      </c>
      <c r="B23" s="129">
        <v>0</v>
      </c>
      <c r="C23" s="130"/>
      <c r="D23" s="24">
        <v>5</v>
      </c>
      <c r="E23" s="133" t="str">
        <f>IF(OR(B23="",B23&lt;0,D23="",D23&lt;=0),"","ร้อยละ")</f>
        <v>ร้อยละ</v>
      </c>
      <c r="F23" s="115"/>
      <c r="G23" s="168">
        <f>IF(OR(B23="",B23&lt;0,D23="",D23&lt;=0),"",B23*100/D23)</f>
        <v>0</v>
      </c>
      <c r="H23" s="115"/>
      <c r="I23" s="166">
        <f>IF(OR(B23="",D23=""),"",IF(OR(B23&lt;0,D23&lt;=0,AND(G23="",G23&lt;0,G23&gt;100)),"Error",IF(G23="","",IF(ROUND(G23*5/60,2)&gt;5,5,ROUND(G23*5/60,2)))))</f>
        <v>0</v>
      </c>
      <c r="J23" s="167"/>
      <c r="K23" s="170"/>
      <c r="L23" s="46" t="str">
        <f>IF(B23&lt;0,"จำนวนอาจารย์ประจำหลักสูตรคุณวุฒิปริญญาเอก ต้องไม่ติดลบ",IF(D23&lt;0,"จำนวนอาจารย์ประจำหลักสูตรทั้งหมด ต้องไม่ติดลบ",IF(AND(B23="",D23=""),"",IF(G23="","",IF(G23&gt;100,"ค่าร้อยละต้องไม่เกิน 100","")))))</f>
        <v/>
      </c>
    </row>
    <row r="24" spans="1:13" ht="28.5" x14ac:dyDescent="0.35">
      <c r="A24" s="48" t="s">
        <v>35</v>
      </c>
      <c r="B24" s="131">
        <v>0</v>
      </c>
      <c r="C24" s="132"/>
      <c r="D24" s="24">
        <v>5</v>
      </c>
      <c r="E24" s="133" t="str">
        <f>IF(OR(B24="",B24&lt;0,D24="",D24&lt;=0),"","ร้อยละ")</f>
        <v>ร้อยละ</v>
      </c>
      <c r="F24" s="115"/>
      <c r="G24" s="168">
        <f>IF(OR(B24="",B24&lt;0,D24="",D24&lt;=0),"",B24*100/D24)</f>
        <v>0</v>
      </c>
      <c r="H24" s="115"/>
      <c r="I24" s="166">
        <f>IF(OR(B24="",D24=""),"",IF(OR(B24&lt;0,D24&lt;=0),"Error",IF(G24="","",IF(ROUND(G24*5/20,2)&gt;5,5,ROUND(G24*5/20,2)))))</f>
        <v>0</v>
      </c>
      <c r="J24" s="167"/>
      <c r="K24" s="171"/>
      <c r="L24" s="46" t="str">
        <f>IF(OR(B24="",D24=""),"",IF(B24&lt;0,"ผลรวมถ่วงน้ำหนัก ต้องไม่ติดลบ",IF(D24&lt;0,"จำนวนอาจารย์ประจำหลักสูตรทั้งหมด ต้องไม่ติดลบ","")))</f>
        <v/>
      </c>
    </row>
    <row r="25" spans="1:13" ht="23.25" customHeight="1" x14ac:dyDescent="0.35">
      <c r="A25" s="43" t="s">
        <v>31</v>
      </c>
      <c r="B25" s="182" t="str">
        <f>IF(AND(B26="",B27="",B28="",D26="",D27="",D28=""),"",IF($F$3=1,"ไม่ต้องประเมินตัวบ่งชี้นี้ในหลักสูตรระดับปริญญาตรี",IF($F$3=3,"ไม่ต้องประเมินตัวบ่งชี้นี้ในหลักสูตรระดับปริญญาเอก","")))</f>
        <v/>
      </c>
      <c r="C25" s="183"/>
      <c r="D25" s="183"/>
      <c r="E25" s="183"/>
      <c r="F25" s="183"/>
      <c r="G25" s="183"/>
      <c r="H25" s="183"/>
      <c r="I25" s="183"/>
      <c r="J25" s="183"/>
      <c r="K25" s="184"/>
      <c r="L25" s="35" t="str">
        <f>IF(AND(D26="",D27="",D28=""),"",IF(I26="","ไม่มีผลลัพธ์ อาจารย์ประจำหลักสูตรที่มีคุณวุฒิปริญญาเอก",IF(I27="","ไม่มีผลลัพธ์ อาจารย์ประจำหลักสูตรที่ดำรงตำแหน่งทางวิชาการ",IF(I28="","ไม่มีผลลัพธ์ ผลงานทางวิชาการของอาจารย์ประจำหลักสูตร",IF(OR(D26&lt;&gt;D27,D26&lt;&gt;D28),"จำนวนอาจารย์ประจำหลักสูตร ต้องเท่ากัน","")))))</f>
        <v/>
      </c>
    </row>
    <row r="26" spans="1:13" ht="28.5" x14ac:dyDescent="0.35">
      <c r="A26" s="45" t="s">
        <v>28</v>
      </c>
      <c r="B26" s="129"/>
      <c r="C26" s="130"/>
      <c r="D26" s="24"/>
      <c r="E26" s="133" t="str">
        <f>IF(OR(B26="",B26&lt;0,D26="",D26&lt;=0),"","ร้อยละ")</f>
        <v/>
      </c>
      <c r="F26" s="115"/>
      <c r="G26" s="168" t="str">
        <f>IF(OR(B26="",B26&lt;0,D26="",D26&lt;=0),"",B26*100/D26)</f>
        <v/>
      </c>
      <c r="H26" s="115"/>
      <c r="I26" s="166" t="str">
        <f>IF(OR(B26="",D26=""),"",IF(OR(B26&lt;0,D26&lt;=0,AND(G26="",G26&lt;0,G26&gt;100)),"Error",IF(G26="","",IF(ROUND(G26*5/60,2)&gt;5,5,ROUND(G26*5/60,2)))))</f>
        <v/>
      </c>
      <c r="J26" s="167"/>
      <c r="K26" s="169" t="str">
        <f>IF(F3&lt;&gt;2,"",IF(OR(I26="",I26="Error",I27="",I27="Error",I28="",I28="Error"),"",IF(OR(D26&lt;&gt;D27,D26&lt;&gt;D28),"Error",ROUND(SUM(I26,I27,I28)/3,2))))</f>
        <v/>
      </c>
      <c r="L26" s="46" t="str">
        <f>IF(B26&lt;0,"จำนวนอาจารย์ประจำหลักสูตรคุณวุฒิปริญญาเอก ต้องไม่ติดลบ",IF(D26&lt;0,"จำนวนอาจารย์ประจำหลักสูตรทั้งหมด ต้องไม่ติดลบ",IF(B26&lt;&gt;ROUND(B26,0),"จำนวนอาจารย์ประจำหลักสูตร ต้องไม่เป็นทศนิยม",IF(AND(B26="",D26=""),"",IF(G26="","",IF(G26&gt;100,"ค่าร้อยละต้องไม่เกิน 100",""))))))</f>
        <v/>
      </c>
    </row>
    <row r="27" spans="1:13" ht="28.5" x14ac:dyDescent="0.35">
      <c r="A27" s="47" t="s">
        <v>29</v>
      </c>
      <c r="B27" s="129"/>
      <c r="C27" s="130"/>
      <c r="D27" s="24"/>
      <c r="E27" s="133" t="str">
        <f>IF(OR(B27="",B27&lt;0,D27="",D27&lt;=0),"","ร้อยละ")</f>
        <v/>
      </c>
      <c r="F27" s="115"/>
      <c r="G27" s="168" t="str">
        <f>IF(OR(B27="",B27&lt;0,D27="",D27&lt;=0),"",B27*100/D27)</f>
        <v/>
      </c>
      <c r="H27" s="115"/>
      <c r="I27" s="166" t="str">
        <f>IF(OR(B27="",D27=""),"",IF(OR(B27&lt;0,D27&lt;=0,AND(G27="",G27&lt;0,G27&gt;100)),"Error",IF(G27="","",IF(ROUND(G27*5/80,2)&gt;5,5,ROUND(G27*5/80,2)))))</f>
        <v/>
      </c>
      <c r="J27" s="167"/>
      <c r="K27" s="170"/>
      <c r="L27" s="46" t="str">
        <f>IF(B27&lt;0,"จำนวนอาจารย์ประจำหลักสูตรคุณวุฒิปริญญาเอก ต้องไม่ติดลบ",IF(D27&lt;0,"จำนวนอาจารย์ประจำหลักสูตรทั้งหมด ต้องไม่ติดลบ",IF(B27&lt;&gt;ROUND(B27,0),"จำนวนอาจารย์ประจำหลักสูตร ต้องไม่เป็นทศนิยม",IF(AND(B27="",D27=""),"",IF(G27="","",IF(G27&gt;100,"ค่าร้อยละต้องไม่เกิน 100",""))))))</f>
        <v/>
      </c>
    </row>
    <row r="28" spans="1:13" ht="28.5" x14ac:dyDescent="0.35">
      <c r="A28" s="49" t="s">
        <v>30</v>
      </c>
      <c r="B28" s="131"/>
      <c r="C28" s="132"/>
      <c r="D28" s="24"/>
      <c r="E28" s="133" t="str">
        <f>IF(OR(B28="",B28&lt;0,D28="",D28&lt;=0),"","ร้อยละ")</f>
        <v/>
      </c>
      <c r="F28" s="115"/>
      <c r="G28" s="168" t="str">
        <f>IF(OR(B28="",B28&lt;0,D28="",D28&lt;=0),"",B28*100/D28)</f>
        <v/>
      </c>
      <c r="H28" s="115"/>
      <c r="I28" s="166" t="str">
        <f>IF(OR(B28="",D28=""),"",IF(OR(B28&lt;0,D28&lt;=0),"Error",IF(G28="","",IF(ROUND(G28*5/40,2)&gt;5,5,ROUND(G28*5/40,2)))))</f>
        <v/>
      </c>
      <c r="J28" s="167"/>
      <c r="K28" s="171"/>
      <c r="L28" s="46" t="str">
        <f>IF(OR(B28="",D28=""),"",IF(B28&lt;0,"ผลรวมถ่วงน้ำหนัก ต้องไม่ติดลบ",IF(D28&lt;0,"จำนวนอาจารย์ประจำหลักสูตรทั้งหมด ต้องไม่ติดลบ","")))</f>
        <v/>
      </c>
    </row>
    <row r="29" spans="1:13" ht="23.25" customHeight="1" x14ac:dyDescent="0.35">
      <c r="A29" s="43" t="s">
        <v>32</v>
      </c>
      <c r="B29" s="182" t="str">
        <f>IF(AND(B30="",B31="",B32="",F33="",F34="",F35="",D30="",D31="",D32="",H33="",H34="",H35),"",IF($F$3=1,"ไม่ต้องประเมินตัวบ่งชี้นี้ในหลักสูตรระดับปริญญาตรี",IF($F$3=2,"ไม่ต้องประเมินตัวบ่งชี้นี้ในหลักสูตรระดับปริญญาโท","")))</f>
        <v/>
      </c>
      <c r="C29" s="183"/>
      <c r="D29" s="183"/>
      <c r="E29" s="183"/>
      <c r="F29" s="183"/>
      <c r="G29" s="183"/>
      <c r="H29" s="183"/>
      <c r="I29" s="183"/>
      <c r="J29" s="183"/>
      <c r="K29" s="184"/>
      <c r="L29" s="35" t="str">
        <f>IF(AND(D30="",D31="",D32=""),"",IF(I30="","ไม่มีผลลัพธ์ อาจารย์ประจำหลักสูตรที่มีคุณวุฒิปริญญาเอก",IF(I31="","ไม่มีผลลัพธ์ อาจารย์ประจำหลักสูตรที่ดำรงตำแหน่งทางวิชาการ",IF(I32="","ไม่มีผลลัพธ์ ผลงานทางวิชาการของอาจารย์ประจำหลักสูตร",IF(AND(I33="",I34="",I35=""),"ไม่มีผลลัพธ์ การอ้างอิงในฐานข้อมูล TCI และ SCOPUS ต่ออาจารย์ประจำหลักสูตร",IF(OR(D30&lt;&gt;D31,D30&lt;&gt;D32,AND(H33&lt;&gt;"",D30&lt;&gt;H33),AND(H34&lt;&gt;"",D30&lt;&gt;H34),AND(H35&lt;&gt;"",D30&lt;&gt;H35)),"จำนวนอาจารย์ประจำหลักสูตร ต้องเท่ากัน",""))))))</f>
        <v/>
      </c>
    </row>
    <row r="30" spans="1:13" ht="28.5" x14ac:dyDescent="0.35">
      <c r="A30" s="45" t="s">
        <v>25</v>
      </c>
      <c r="B30" s="129"/>
      <c r="C30" s="130"/>
      <c r="D30" s="24"/>
      <c r="E30" s="133" t="str">
        <f>IF(OR(B30="",B30&lt;0,D30="",D30&lt;=0,),"","ร้อยละ")</f>
        <v/>
      </c>
      <c r="F30" s="115"/>
      <c r="G30" s="168" t="str">
        <f>IF(OR(B30="",B30&lt;0,D30="",D30&lt;=0,),"",B30*100/D30)</f>
        <v/>
      </c>
      <c r="H30" s="115"/>
      <c r="I30" s="166" t="str">
        <f>IF(OR(B30="",D30=""),"",IF(OR(B30&lt;0,D30&lt;0,AND(G30="",G30&lt;0,G30&gt;100)),"Error",IF(G30="","",IF(ROUND(G30*5/100,2)&gt;5,5,ROUND(G30*5/100,2)))))</f>
        <v/>
      </c>
      <c r="J30" s="172"/>
      <c r="K30" s="169" t="str">
        <f>IF(F3&lt;&gt;3,"",IF(OR(I30="",I30="Error",I31="",I31="Error",I33="Error",I34="Error",I35="Error",AND(I33="",I34="",I35="",I35="")),"",IF(OR(D30&lt;&gt;D31,D30&lt;&gt;D32,AND(H33&lt;&gt;"",D30&lt;&gt;H33),AND(H34&lt;&gt;"",D30&lt;&gt;H34),AND(H35&lt;&gt;"",D30&lt;&gt;H35)),"Error",ROUND(SUM(I30,I31,I32,SUM(I33,I34,I35)/COUNT(I33,I34,I35))/4,2))))</f>
        <v/>
      </c>
      <c r="L30" s="46" t="str">
        <f>IF(B30&lt;0,"จำนวนอาจารย์ประจำหลักสูตรคุณวุฒิปริญญาเอก ต้องไม่ติดลบ",IF(D30&lt;0,"จำนวนอาจารย์ประจำหลักสูตรทั้งหมด ต้องไม่ติดลบ",IF(B30&lt;&gt;ROUND(B30,0),"จำนวนอาจารย์ประจำหลักสูตร ต้องไม่เป็นทศนิยม",IF(AND(B30="",D30=""),"",IF(G30="","",IF(G30&gt;100,"ค่าร้อยละต้องไม่เกิน 100",""))))))</f>
        <v/>
      </c>
    </row>
    <row r="31" spans="1:13" ht="28.5" x14ac:dyDescent="0.35">
      <c r="A31" s="47" t="s">
        <v>26</v>
      </c>
      <c r="B31" s="129"/>
      <c r="C31" s="130"/>
      <c r="D31" s="24"/>
      <c r="E31" s="133" t="str">
        <f>IF(OR(B31="",B31&lt;0,D31="",D31&lt;=0,),"","ร้อยละ")</f>
        <v/>
      </c>
      <c r="F31" s="115"/>
      <c r="G31" s="168" t="str">
        <f>IF(OR(B31="",B31&lt;0,D31="",D31&lt;=0,),"",B31*100/D31)</f>
        <v/>
      </c>
      <c r="H31" s="115"/>
      <c r="I31" s="166" t="str">
        <f>IF(OR(B31="",D31=""),"",IF(OR(B31&lt;0,D31&lt;0,AND(G31="",G31&lt;0,G31&gt;100)),"Error",IF(G31="","",IF(ROUND(G31*5/100,2)&gt;5,5,ROUND(G31*5/100,2)))))</f>
        <v/>
      </c>
      <c r="J31" s="172"/>
      <c r="K31" s="170"/>
      <c r="L31" s="46" t="str">
        <f>IF(B31&lt;0,"จำนวนอาจารย์ประจำหลักสูตรคุณวุฒิปริญญาเอก ต้องไม่ติดลบ",IF(D31&lt;0,"จำนวนอาจารย์ประจำหลักสูตรทั้งหมด ต้องไม่ติดลบ",IF(B31&lt;&gt;ROUND(B31,0),"จำนวนอาจารย์ประจำหลักสูตร ต้องไม่เป็นทศนิยม",IF(AND(B31="",D31=""),"",IF(G31="","",IF(G31&gt;100,"ค่าร้อยละต้องไม่เกิน 100",""))))))</f>
        <v/>
      </c>
    </row>
    <row r="32" spans="1:13" ht="28.5" x14ac:dyDescent="0.35">
      <c r="A32" s="48" t="s">
        <v>27</v>
      </c>
      <c r="B32" s="131"/>
      <c r="C32" s="132"/>
      <c r="D32" s="24"/>
      <c r="E32" s="133" t="str">
        <f>IF(OR(B32="",B32&lt;0,D32="",D32&lt;=0,),"","ร้อยละ")</f>
        <v/>
      </c>
      <c r="F32" s="115"/>
      <c r="G32" s="168" t="str">
        <f>IF(OR(B32="",B32&lt;0,D32="",D32&lt;=0,),"",B32*100/D32)</f>
        <v/>
      </c>
      <c r="H32" s="115"/>
      <c r="I32" s="166" t="str">
        <f>IF(OR(B32="",D32=""),"",IF(OR(B32&lt;0,D32&lt;0),"Error",IF(G32="","",IF(ROUND(G32*5/60,2)&gt;5,5,ROUND(G32*5/60,2)))))</f>
        <v/>
      </c>
      <c r="J32" s="172"/>
      <c r="K32" s="170"/>
      <c r="L32" s="46" t="str">
        <f>IF(OR(B32="",D32=""),"",IF(B32&lt;0,"ผลรวมถ่วงน้ำหนัก ต้องไม่ติดลบ",IF(D32&lt;0,"จำนวนอาจารย์ประจำหลักสูตรทั้งหมด ต้องไม่ติดลบ","")))</f>
        <v/>
      </c>
    </row>
    <row r="33" spans="1:12" ht="28.5" x14ac:dyDescent="0.35">
      <c r="A33" s="50" t="s">
        <v>24</v>
      </c>
      <c r="B33" s="188" t="s">
        <v>20</v>
      </c>
      <c r="C33" s="188"/>
      <c r="D33" s="188"/>
      <c r="E33" s="188"/>
      <c r="F33" s="129"/>
      <c r="G33" s="130"/>
      <c r="H33" s="24"/>
      <c r="I33" s="166" t="str">
        <f>IF(OR(F33="",H33=""),"",IF(OR(F33&lt;0,F33&lt;&gt;ROUND(F33,0),H33&lt;=0),"Error",IF(ROUND(F33/H33*5/2.5,2)&gt;5,5,ROUND(F33/H33*5/2.5,2))))</f>
        <v/>
      </c>
      <c r="J33" s="172"/>
      <c r="K33" s="170"/>
      <c r="L33" s="46" t="str">
        <f>IF(OR(F33="",H33=""),"",IF(F33&lt;0,"จำนวนบทความที่ได้รับการอ้างอิง ต้องไม่ติดลบ",IF(F33&lt;&gt;ROUND(F33,0),"จำนวนบทความที่ได้รับการอ้างอิง ต้องไม่เป็นทศนิยม",IF(H33&lt;0,"จำนวนอาจารย์ประจำหลักสูตรทั้งหมด ต้องไม่ติดลบ",""))))</f>
        <v/>
      </c>
    </row>
    <row r="34" spans="1:12" ht="28.5" x14ac:dyDescent="0.35">
      <c r="A34" s="51" t="s">
        <v>23</v>
      </c>
      <c r="B34" s="189" t="s">
        <v>21</v>
      </c>
      <c r="C34" s="190"/>
      <c r="D34" s="190"/>
      <c r="E34" s="190"/>
      <c r="F34" s="129"/>
      <c r="G34" s="130"/>
      <c r="H34" s="24"/>
      <c r="I34" s="166" t="str">
        <f>IF(OR(F34="",H34=""),"",IF(OR(F34&lt;0,F34&lt;&gt;ROUND(F34,0),H34&lt;=0),"Error",IF(ROUND(F34/H34*5/3,2)&gt;5,5,ROUND(F34/H34*5/3,2))))</f>
        <v/>
      </c>
      <c r="J34" s="172"/>
      <c r="K34" s="170"/>
      <c r="L34" s="46" t="str">
        <f>IF(OR(F34="",H34=""),"",IF(F34&lt;0,"จำนวนบทความที่ได้รับการอ้างอิง ต้องไม่ติดลบ",IF(F34&lt;&gt;ROUND(F34,0),"จำนวนบทความที่ได้รับการอ้างอิง ต้องไม่เป็นทศนิยม",IF(H34&lt;0,"จำนวนอาจารย์ประจำหลักสูตรทั้งหมด ต้องไม่ติดลบ",""))))</f>
        <v/>
      </c>
    </row>
    <row r="35" spans="1:12" ht="28.5" x14ac:dyDescent="0.35">
      <c r="A35" s="51"/>
      <c r="B35" s="191" t="s">
        <v>22</v>
      </c>
      <c r="C35" s="192"/>
      <c r="D35" s="192"/>
      <c r="E35" s="192"/>
      <c r="F35" s="129"/>
      <c r="G35" s="130"/>
      <c r="H35" s="24"/>
      <c r="I35" s="166" t="str">
        <f>IF(OR(F35="",H35=""),"",IF(OR(F35&lt;0,F35&lt;&gt;ROUND(F35,0),H35&lt;=0),"Error",IF(ROUND(F35/H35*5/0.25,2)&gt;5,5,ROUND(F35/H35*5/0.25,2))))</f>
        <v/>
      </c>
      <c r="J35" s="172"/>
      <c r="K35" s="171"/>
      <c r="L35" s="46" t="str">
        <f>IF(OR(F35="",H35=""),"",IF(F35&lt;0,"จำนวนบทความที่ได้รับการอ้างอิง ต้องไม่ติดลบ",IF(F35&lt;&gt;ROUND(F35,0),"จำนวนบทความที่ได้รับการอ้างอิง ต้องไม่เป็นทศนิยม",IF(H35&lt;0,"จำนวนอาจารย์ประจำหลักสูตรทั้งหมด ต้องไม่ติดลบ",""))))</f>
        <v/>
      </c>
    </row>
    <row r="36" spans="1:12" ht="39.950000000000003" customHeight="1" x14ac:dyDescent="0.35">
      <c r="A36" s="41" t="s">
        <v>14</v>
      </c>
      <c r="B36" s="134"/>
      <c r="C36" s="134"/>
      <c r="D36" s="134"/>
      <c r="E36" s="134"/>
      <c r="F36" s="134"/>
      <c r="G36" s="134"/>
      <c r="H36" s="134"/>
      <c r="I36" s="134"/>
      <c r="J36" s="25">
        <v>4</v>
      </c>
      <c r="K36" s="42">
        <f>IF(J36="","",IF(OR(J36&lt;0,J36&lt;&gt;ROUND(J36,0),J36&gt;5),"Error",J36))</f>
        <v>4</v>
      </c>
      <c r="L36" s="23" t="str">
        <f>IF(J36="","",(IF(J36&lt;0,"ตะแนนต้องไม่ติดลบ",IF(J36&lt;&gt;ROUND(J36,0),"คะแนนต้องไม่เป็นทศนิยม",IF(J36&gt;5,"คะแนนต้องไม่มากกว่า 5","")))))</f>
        <v/>
      </c>
    </row>
    <row r="37" spans="1:12" ht="39.950000000000003" customHeight="1" x14ac:dyDescent="0.35">
      <c r="A37" s="41" t="s">
        <v>15</v>
      </c>
      <c r="B37" s="134"/>
      <c r="C37" s="134"/>
      <c r="D37" s="134"/>
      <c r="E37" s="134"/>
      <c r="F37" s="134"/>
      <c r="G37" s="134"/>
      <c r="H37" s="134"/>
      <c r="I37" s="134"/>
      <c r="J37" s="25">
        <v>2</v>
      </c>
      <c r="K37" s="42">
        <f>IF(J37="","",IF(OR(J37&lt;0,J37&lt;&gt;ROUND(J37,0),J37&gt;5),"Error",J37))</f>
        <v>2</v>
      </c>
      <c r="L37" s="23" t="str">
        <f>IF(J37="","",(IF(J37&lt;0,"ตะแนนต้องไม่ติดลบ",IF(J37&lt;&gt;ROUND(J37,0),"คะแนนต้องไม่เป็นทศนิยม",IF(J37&gt;5,"คะแนนต้องไม่มากกว่า 5","")))))</f>
        <v/>
      </c>
    </row>
    <row r="38" spans="1:12" ht="39.950000000000003" customHeight="1" x14ac:dyDescent="0.35">
      <c r="A38" s="41" t="s">
        <v>16</v>
      </c>
      <c r="B38" s="134"/>
      <c r="C38" s="134"/>
      <c r="D38" s="134"/>
      <c r="E38" s="134"/>
      <c r="F38" s="134"/>
      <c r="G38" s="134"/>
      <c r="H38" s="134"/>
      <c r="I38" s="134"/>
      <c r="J38" s="25">
        <v>2</v>
      </c>
      <c r="K38" s="42">
        <f>IF(J38="","",IF(OR(J38&lt;0,J38&lt;&gt;ROUND(J38,0),J38&gt;5),"Error",J38))</f>
        <v>2</v>
      </c>
      <c r="L38" s="23" t="str">
        <f>IF(J38="","",(IF(J38&lt;0,"ตะแนนต้องไม่ติดลบ",IF(J38&lt;&gt;ROUND(J38,0),"คะแนนต้องไม่เป็นทศนิยม",IF(J38&gt;5,"คะแนนต้องไม่มากกว่า 5","")))))</f>
        <v/>
      </c>
    </row>
    <row r="39" spans="1:12" ht="39.950000000000003" customHeight="1" x14ac:dyDescent="0.35">
      <c r="A39" s="41" t="s">
        <v>17</v>
      </c>
      <c r="B39" s="134"/>
      <c r="C39" s="134"/>
      <c r="D39" s="134"/>
      <c r="E39" s="134"/>
      <c r="F39" s="134"/>
      <c r="G39" s="134"/>
      <c r="H39" s="134"/>
      <c r="I39" s="134"/>
      <c r="J39" s="25">
        <v>2</v>
      </c>
      <c r="K39" s="42">
        <f>IF(J39="","",IF(OR(J39&lt;0,J39&lt;&gt;ROUND(J39,0),J39&gt;5),"Error",J39))</f>
        <v>2</v>
      </c>
      <c r="L39" s="23" t="str">
        <f>IF(J39="","",(IF(J39&lt;0,"ตะแนนต้องไม่ติดลบ",IF(J39&lt;&gt;ROUND(J39,0),"คะแนนต้องไม่เป็นทศนิยม",IF(J39&gt;5,"คะแนนต้องไม่มากกว่า 5","")))))</f>
        <v/>
      </c>
    </row>
    <row r="40" spans="1:12" ht="28.5" x14ac:dyDescent="0.35">
      <c r="A40" s="52" t="s">
        <v>18</v>
      </c>
      <c r="B40" s="22">
        <v>10</v>
      </c>
      <c r="C40" s="22">
        <v>10</v>
      </c>
      <c r="D40" s="133" t="str">
        <f>IF(OR(B40="",B40&lt;=0,C40="",C40&lt;=0,B40&gt;C40),"","ร้อยละ")</f>
        <v>ร้อยละ</v>
      </c>
      <c r="E40" s="193"/>
      <c r="F40" s="168">
        <f>IF(OR(B40="",B40&lt;=0,B40&lt;&gt;ROUND(B40,0),C40="",C40&lt;=0,C40&lt;&gt;ROUND(C40,0),B40&gt;C40),"",B40*100/C40)</f>
        <v>100</v>
      </c>
      <c r="G40" s="115"/>
      <c r="H40" s="135">
        <f>IF(OR(B40="",C40="",B40&gt;C40),"",IF(OR(B40&lt;0,C40&lt;0,AND(F40="",F40&lt;0,F40&gt;100)),"Error",IF(F40="","",IF(F40=100,5,IF(AND(F40&gt;=95,F40&lt;100),4.75,IF(AND(F40&gt;=90,F40&lt;95),4.5,IF(AND(F40&gt;=80.01,F40&lt;90),4,IF(F40=80,3.5,0))))))))</f>
        <v>5</v>
      </c>
      <c r="I40" s="136"/>
      <c r="J40" s="137"/>
      <c r="K40" s="77">
        <f>IF(OR(B40&lt;0,B40&lt;&gt;ROUND(B40,0),C40&lt;0,C40&lt;&gt;ROUND(C40,0),B40&gt;C40),"Error",IF(AND(B40&lt;&gt;"",C40&lt;&gt;"",H40&gt;5),"Error",IF(OR(B40="",C40="",H40="Error"),"",H40)))</f>
        <v>5</v>
      </c>
      <c r="L40" s="46" t="str">
        <f>IF(B40&gt;C40,"จำนวนข้อของผลการดำเนินงานตามตัวบ่งชี้ ต้องไม่มากกว่าจำนวนข้อตามตัวบ่งชี้ที่ระบุไว้ในหลักสูตรแต่ละปี",IF(B40&lt;0,"จำนวนข้อของผลการดำเนินงานตามตัวบ่งชี้ ต้องไม่ติดลบ",IF(B40&lt;&gt;ROUND(B40,0),"จำนวนข้อของผลการดำเนินงานตามตัวบ่งชี้ ต้องไม่เป็นทศนิยม",IF(C40&lt;0,"จำนวนข้อตามตัวบ่งชี้ที่ระบุไว้ในหลักสูตรแต่ละปี ต้องไม่ติดลบ",IF(C40&lt;&gt;ROUND(C40,0),"จำนวนข้อตามตัวบ่งชี้ที่ระบุไว้ในหลักสูตรแต่ละปี ต้องไม่เป็นทศนิยม",IF(AND(B40="",C40=""),"",IF(F40="","",IF(F40&gt;100,"ค่าร้อยละต้องไม่เกิน 100",""))))))))</f>
        <v/>
      </c>
    </row>
    <row r="41" spans="1:12" ht="39.950000000000003" customHeight="1" x14ac:dyDescent="0.35">
      <c r="A41" s="41" t="s">
        <v>19</v>
      </c>
      <c r="B41" s="134"/>
      <c r="C41" s="134"/>
      <c r="D41" s="134"/>
      <c r="E41" s="134"/>
      <c r="F41" s="134"/>
      <c r="G41" s="134"/>
      <c r="H41" s="134"/>
      <c r="I41" s="134"/>
      <c r="J41" s="25">
        <v>2</v>
      </c>
      <c r="K41" s="42">
        <f>IF(J41="","",IF(OR(J41&lt;0,J41&lt;&gt;ROUND(J41,0),J41&gt;5),"Error",J41))</f>
        <v>2</v>
      </c>
      <c r="L41" s="23" t="str">
        <f>IF(J41="","",(IF(J41&lt;0,"ตะแนนต้องไม่ติดลบ",IF(J41&lt;&gt;ROUND(J41,0),"คะแนนต้องไม่เป็นทศนิยม",IF(J41&gt;5,"คะแนนต้องไม่มากกว่า 5","")))))</f>
        <v/>
      </c>
    </row>
    <row r="42" spans="1:12" ht="55.5" customHeight="1" x14ac:dyDescent="0.35">
      <c r="A42" s="33"/>
      <c r="B42" s="94" t="s">
        <v>42</v>
      </c>
      <c r="C42" s="95"/>
      <c r="D42" s="95"/>
      <c r="E42" s="95"/>
      <c r="F42" s="95"/>
      <c r="G42" s="95"/>
      <c r="H42" s="95"/>
      <c r="I42" s="95"/>
      <c r="J42" s="95"/>
      <c r="K42" s="53">
        <f>IF(OR(K7="",K7="Error"),"",IF(COUNTIF(K9:K41,"Error")&gt;0,"Error",IF(COUNT(K9:K41)=0,"",ROUND(SUM(K9:K41)/IF(COUNT(K9:K41)=0,1,COUNT(K9:K41)),2))))</f>
        <v>2.82</v>
      </c>
    </row>
    <row r="43" spans="1:12" ht="26.25" customHeight="1" x14ac:dyDescent="0.4">
      <c r="A43" s="29" t="s">
        <v>41</v>
      </c>
      <c r="B43" s="173" t="str">
        <f>IF(OR(K7="",K7="Error"),"",IF(K7="ไม่ผ่าน","ไม่ผ่านองค์ประกอบที่ 1 คะแนนระดับหลักสูตร = 0",IF(K7="ผ่าน","หลักสูตรเป็นไปตามมาตรฐาน")))</f>
        <v>หลักสูตรเป็นไปตามมาตรฐาน</v>
      </c>
      <c r="C43" s="174"/>
      <c r="D43" s="174"/>
      <c r="E43" s="174"/>
      <c r="F43" s="174"/>
      <c r="G43" s="174"/>
      <c r="H43" s="174"/>
      <c r="I43" s="174"/>
      <c r="J43" s="174"/>
      <c r="K43" s="175"/>
    </row>
    <row r="44" spans="1:12" ht="21" customHeight="1" x14ac:dyDescent="0.4">
      <c r="B44" s="176" t="str">
        <f>IF(OR(K7="",K7="Error"),"",IF(K7="ไม่ผ่าน","",IF(AND(K42&gt;=4.01,K42&lt;=5),"และมีระดับคุณภาพดีมาก",IF(AND(K42&gt;=3.01,K42&lt;4.01),"และมีระดับคุณภาพดี",IF(AND(K42&gt;=2.01,K42&lt;3.01),"และมีระดับคุณภาพปานกลาง",IF(K42&lt;2.01,"และมีระดับคุณภาพน้อย",""))))))</f>
        <v>และมีระดับคุณภาพปานกลาง</v>
      </c>
      <c r="C44" s="177"/>
      <c r="D44" s="177"/>
      <c r="E44" s="177"/>
      <c r="F44" s="177"/>
      <c r="G44" s="177"/>
      <c r="H44" s="177"/>
      <c r="I44" s="177"/>
      <c r="J44" s="177"/>
      <c r="K44" s="178"/>
    </row>
  </sheetData>
  <sheetProtection sheet="1" objects="1" scenarios="1"/>
  <mergeCells count="101">
    <mergeCell ref="B43:K43"/>
    <mergeCell ref="B44:K44"/>
    <mergeCell ref="B21:K21"/>
    <mergeCell ref="B25:K25"/>
    <mergeCell ref="K26:K28"/>
    <mergeCell ref="B29:K29"/>
    <mergeCell ref="K30:K35"/>
    <mergeCell ref="A2:K2"/>
    <mergeCell ref="I34:J34"/>
    <mergeCell ref="F35:G35"/>
    <mergeCell ref="I35:J35"/>
    <mergeCell ref="F33:G33"/>
    <mergeCell ref="I33:J33"/>
    <mergeCell ref="B33:E33"/>
    <mergeCell ref="B34:E34"/>
    <mergeCell ref="B35:E35"/>
    <mergeCell ref="B30:C30"/>
    <mergeCell ref="E30:F30"/>
    <mergeCell ref="B32:C32"/>
    <mergeCell ref="B26:C26"/>
    <mergeCell ref="E26:F26"/>
    <mergeCell ref="G26:H26"/>
    <mergeCell ref="D40:E40"/>
    <mergeCell ref="F40:G40"/>
    <mergeCell ref="B28:C28"/>
    <mergeCell ref="E28:F28"/>
    <mergeCell ref="G28:H28"/>
    <mergeCell ref="I28:J28"/>
    <mergeCell ref="E32:F32"/>
    <mergeCell ref="G30:H30"/>
    <mergeCell ref="I30:J30"/>
    <mergeCell ref="F34:G34"/>
    <mergeCell ref="G31:H31"/>
    <mergeCell ref="I31:J31"/>
    <mergeCell ref="G32:H32"/>
    <mergeCell ref="I32:J32"/>
    <mergeCell ref="B31:C31"/>
    <mergeCell ref="A13:A14"/>
    <mergeCell ref="B13:F13"/>
    <mergeCell ref="G13:H14"/>
    <mergeCell ref="I13:J14"/>
    <mergeCell ref="E22:F22"/>
    <mergeCell ref="E23:F23"/>
    <mergeCell ref="G22:H22"/>
    <mergeCell ref="G23:H23"/>
    <mergeCell ref="E24:F24"/>
    <mergeCell ref="G24:H24"/>
    <mergeCell ref="I23:J23"/>
    <mergeCell ref="I22:J22"/>
    <mergeCell ref="B17:I17"/>
    <mergeCell ref="B18:I18"/>
    <mergeCell ref="B19:I19"/>
    <mergeCell ref="B20:I20"/>
    <mergeCell ref="B41:I41"/>
    <mergeCell ref="B36:I36"/>
    <mergeCell ref="H40:J40"/>
    <mergeCell ref="K9:K10"/>
    <mergeCell ref="I9:J10"/>
    <mergeCell ref="B4:J4"/>
    <mergeCell ref="K4:K6"/>
    <mergeCell ref="B5:F5"/>
    <mergeCell ref="G5:J6"/>
    <mergeCell ref="B6:F6"/>
    <mergeCell ref="K15:K16"/>
    <mergeCell ref="B16:F16"/>
    <mergeCell ref="K11:K12"/>
    <mergeCell ref="B11:F11"/>
    <mergeCell ref="G11:H12"/>
    <mergeCell ref="I11:J12"/>
    <mergeCell ref="I24:J24"/>
    <mergeCell ref="I26:J26"/>
    <mergeCell ref="B27:C27"/>
    <mergeCell ref="E27:F27"/>
    <mergeCell ref="G27:H27"/>
    <mergeCell ref="I27:J27"/>
    <mergeCell ref="K22:K24"/>
    <mergeCell ref="B14:F14"/>
    <mergeCell ref="B42:J42"/>
    <mergeCell ref="A1:K1"/>
    <mergeCell ref="A15:A16"/>
    <mergeCell ref="B15:F15"/>
    <mergeCell ref="G15:H16"/>
    <mergeCell ref="I15:J16"/>
    <mergeCell ref="A7:A8"/>
    <mergeCell ref="I8:J8"/>
    <mergeCell ref="A4:A6"/>
    <mergeCell ref="A9:A10"/>
    <mergeCell ref="B9:F9"/>
    <mergeCell ref="B10:F10"/>
    <mergeCell ref="G9:H10"/>
    <mergeCell ref="K7:K8"/>
    <mergeCell ref="A11:A12"/>
    <mergeCell ref="B12:F12"/>
    <mergeCell ref="K13:K14"/>
    <mergeCell ref="B22:C22"/>
    <mergeCell ref="B23:C23"/>
    <mergeCell ref="B24:C24"/>
    <mergeCell ref="E31:F31"/>
    <mergeCell ref="B37:I37"/>
    <mergeCell ref="B38:I38"/>
    <mergeCell ref="B39:I39"/>
  </mergeCells>
  <printOptions horizontalCentered="1"/>
  <pageMargins left="0.74803149606299202" right="0.74803149606299202" top="0.74803149606299202" bottom="0.74803149606299202" header="0.511811023622047" footer="0.43307086614173201"/>
  <pageSetup paperSize="9" scale="85" orientation="landscape" horizontalDpi="4294967294" r:id="rId1"/>
  <headerFooter>
    <oddHeader>&amp;C&amp;"TH SarabunPSK,Regular"&amp;14พัฒนาโดย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&amp;L&amp;"TH SarabunPSK,Regular"&amp;14Website: http://buuic.buu.ac.th/&amp;C&amp;"TH SarabunPSK,Regular"&amp;14"&amp;F"  &amp;T &amp;D&amp;R&amp;"TH SarabunPSK,Regular"&amp;14E-mail: prasitp_g@yahoo.com</oddFooter>
  </headerFooter>
  <rowBreaks count="2" manualBreakCount="2">
    <brk id="19" max="10" man="1"/>
    <brk id="32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18"/>
  <sheetViews>
    <sheetView showGridLines="0" zoomScale="70" zoomScaleNormal="7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P18" sqref="P18"/>
    </sheetView>
  </sheetViews>
  <sheetFormatPr defaultColWidth="9.140625" defaultRowHeight="15" x14ac:dyDescent="0.25"/>
  <cols>
    <col min="1" max="1" width="8.85546875" style="54" customWidth="1"/>
    <col min="2" max="2" width="18.140625" style="54" customWidth="1"/>
    <col min="3" max="5" width="15.28515625" style="54" customWidth="1"/>
    <col min="6" max="6" width="26" style="54" customWidth="1"/>
    <col min="7" max="7" width="26.7109375" style="54" customWidth="1"/>
    <col min="8" max="16384" width="9.140625" style="54"/>
  </cols>
  <sheetData>
    <row r="1" spans="1:7" ht="45.75" customHeight="1" x14ac:dyDescent="0.25">
      <c r="A1" s="93" t="s">
        <v>58</v>
      </c>
      <c r="B1" s="194" t="str">
        <f>IF(หลักสูตร!A2="","",หลักสูตร!A2)</f>
        <v>หลักสูตรคอมพิวเตอร์ธุรกิจ มรภ.กพ.แม่สอด ปีการศึกษา 2558 (รอบระยะเวลาดำเนินงาน  สิงหาคม 2558- พฤษภาคม 2559)</v>
      </c>
      <c r="C1" s="194"/>
      <c r="D1" s="194"/>
      <c r="E1" s="194"/>
      <c r="F1" s="194"/>
      <c r="G1" s="194"/>
    </row>
    <row r="2" spans="1:7" ht="28.5" x14ac:dyDescent="0.45">
      <c r="A2" s="55"/>
      <c r="B2" s="55"/>
      <c r="C2" s="55"/>
      <c r="D2" s="91" t="str">
        <f>หลักสูตร!B3</f>
        <v>ระดับปริญญา</v>
      </c>
      <c r="E2" s="92" t="str">
        <f>IF(หลักสูตร!F3=1,"ตรี",IF(หลักสูตร!F3=2,"โท",IF(หลักสูตร!F3=3,"เอก","")))</f>
        <v>ตรี</v>
      </c>
      <c r="F2" s="55"/>
      <c r="G2" s="55"/>
    </row>
    <row r="3" spans="1:7" ht="29.25" thickBot="1" x14ac:dyDescent="0.5">
      <c r="A3" s="205" t="s">
        <v>56</v>
      </c>
      <c r="B3" s="205"/>
      <c r="C3" s="205"/>
      <c r="D3" s="205"/>
      <c r="E3" s="205"/>
      <c r="F3" s="205"/>
      <c r="G3" s="205"/>
    </row>
    <row r="4" spans="1:7" ht="17.25" customHeight="1" x14ac:dyDescent="0.25">
      <c r="A4" s="199" t="s">
        <v>59</v>
      </c>
      <c r="B4" s="202" t="s">
        <v>55</v>
      </c>
      <c r="C4" s="202" t="s">
        <v>44</v>
      </c>
      <c r="D4" s="202" t="s">
        <v>45</v>
      </c>
      <c r="E4" s="202" t="s">
        <v>46</v>
      </c>
      <c r="F4" s="199" t="s">
        <v>47</v>
      </c>
      <c r="G4" s="56" t="s">
        <v>48</v>
      </c>
    </row>
    <row r="5" spans="1:7" ht="17.25" customHeight="1" x14ac:dyDescent="0.25">
      <c r="A5" s="200"/>
      <c r="B5" s="203"/>
      <c r="C5" s="203"/>
      <c r="D5" s="203"/>
      <c r="E5" s="203"/>
      <c r="F5" s="200"/>
      <c r="G5" s="57" t="s">
        <v>49</v>
      </c>
    </row>
    <row r="6" spans="1:7" ht="17.25" customHeight="1" x14ac:dyDescent="0.25">
      <c r="A6" s="200"/>
      <c r="B6" s="203"/>
      <c r="C6" s="203"/>
      <c r="D6" s="203"/>
      <c r="E6" s="203"/>
      <c r="F6" s="200"/>
      <c r="G6" s="57" t="s">
        <v>50</v>
      </c>
    </row>
    <row r="7" spans="1:7" ht="17.25" customHeight="1" x14ac:dyDescent="0.25">
      <c r="A7" s="200"/>
      <c r="B7" s="203"/>
      <c r="C7" s="203"/>
      <c r="D7" s="203"/>
      <c r="E7" s="203"/>
      <c r="F7" s="200"/>
      <c r="G7" s="57" t="s">
        <v>51</v>
      </c>
    </row>
    <row r="8" spans="1:7" ht="18" customHeight="1" thickBot="1" x14ac:dyDescent="0.3">
      <c r="A8" s="201"/>
      <c r="B8" s="204"/>
      <c r="C8" s="204"/>
      <c r="D8" s="204"/>
      <c r="E8" s="204"/>
      <c r="F8" s="201"/>
      <c r="G8" s="58" t="s">
        <v>52</v>
      </c>
    </row>
    <row r="9" spans="1:7" ht="24" customHeight="1" thickTop="1" x14ac:dyDescent="0.25">
      <c r="A9" s="216">
        <v>1</v>
      </c>
      <c r="B9" s="206" t="s">
        <v>57</v>
      </c>
      <c r="C9" s="210" t="str">
        <f>IF(หลักสูตร!K7="ไม่ผ่าน","ไม่ผ่านการประเมิน",หลักสูตร!K7)</f>
        <v>ผ่าน</v>
      </c>
      <c r="D9" s="211"/>
      <c r="E9" s="212"/>
      <c r="F9" s="218"/>
      <c r="G9" s="208" t="str">
        <f>IF(C9="ไม่ผ่านการประเมิน","หลักสูตรไม่ได้มาตรฐาน",C9)</f>
        <v>ผ่าน</v>
      </c>
    </row>
    <row r="10" spans="1:7" ht="15.75" thickBot="1" x14ac:dyDescent="0.3">
      <c r="A10" s="217"/>
      <c r="B10" s="207"/>
      <c r="C10" s="213"/>
      <c r="D10" s="214"/>
      <c r="E10" s="215"/>
      <c r="F10" s="219"/>
      <c r="G10" s="209"/>
    </row>
    <row r="11" spans="1:7" ht="27" thickBot="1" x14ac:dyDescent="0.3">
      <c r="A11" s="78">
        <v>2</v>
      </c>
      <c r="B11" s="78">
        <v>2</v>
      </c>
      <c r="C11" s="79" t="s">
        <v>53</v>
      </c>
      <c r="D11" s="79" t="s">
        <v>53</v>
      </c>
      <c r="E11" s="80">
        <f>IF(SUM(หลักสูตร!K9:K16)=0,"",IF(หลักสูตร!F3=1,IF(AND(หลักสูตร!K9="",หลักสูตร!K11=""),"ไม่มีผู้จบ",AVERAGE(หลักสูตร!K9,หลักสูตร!K11)),IF(หลักสูตร!F3=2,IF(AND(หลักสูตร!K9="",หลักสูตร!K13=""),"ไม่มีผู้จบ",AVERAGE(หลักสูตร!K9,หลักสูตร!K13)),IF(หลักสูตร!F3=3,IF(AND(หลักสูตร!K9="",หลักสูตร!K15=""),"ไม่มีผู้จบ",AVERAGE(หลักสูตร!K9,หลักสูตร!K15)),""))))</f>
        <v>4.8</v>
      </c>
      <c r="F11" s="66">
        <f>E11</f>
        <v>4.8</v>
      </c>
      <c r="G11" s="59" t="str">
        <f>IF(AND(F11&gt;=4.01,F11&lt;=5),"ระดับคุณภาพดีมาก",IF(AND(F11&gt;=3.01,F11&lt;4.01),"ระดับคุณภาพดี",IF(AND(F11&gt;=2.01,F11&lt;3.01),"ระดับคุณภาพปานกลาง",IF(F11&lt;2.01,"ระดับคุณภาพน้อย",""))))</f>
        <v>ระดับคุณภาพดีมาก</v>
      </c>
    </row>
    <row r="12" spans="1:7" ht="27" thickBot="1" x14ac:dyDescent="0.3">
      <c r="A12" s="81">
        <v>3</v>
      </c>
      <c r="B12" s="81">
        <v>3</v>
      </c>
      <c r="C12" s="82">
        <f>IF(AND(หลักสูตร!K17="",หลักสูตร!K18="",หลักสูตร!K19=""),"",AVERAGE(หลักสูตร!K17,หลักสูตร!K18,หลักสูตร!K19))</f>
        <v>2.6666666666666665</v>
      </c>
      <c r="D12" s="83" t="s">
        <v>53</v>
      </c>
      <c r="E12" s="83" t="s">
        <v>53</v>
      </c>
      <c r="F12" s="60">
        <f>IF(AND(หลักสูตร!K17="",หลักสูตร!K18="",หลักสูตร!K19=""),"",AVERAGE(หลักสูตร!K17:K19))</f>
        <v>2.6666666666666665</v>
      </c>
      <c r="G12" s="61" t="str">
        <f>IF(AND(F12&gt;=4.01,F12&lt;=5),"ระดับคุณภาพดีมาก",IF(AND(F12&gt;=3.01,F12&lt;4.01),"ระดับคุณภาพดี",IF(AND(F12&gt;=2.01,F12&lt;3.01),"ระดับคุณภาพปานกลาง",IF(F12&lt;2.01,"ระดับคุณภาพน้อย",""))))</f>
        <v>ระดับคุณภาพปานกลาง</v>
      </c>
    </row>
    <row r="13" spans="1:7" ht="53.25" thickBot="1" x14ac:dyDescent="0.3">
      <c r="A13" s="84">
        <v>4</v>
      </c>
      <c r="B13" s="84">
        <v>3</v>
      </c>
      <c r="C13" s="85">
        <f>IF(SUM(หลักสูตร!K20,หลักสูตร!K22,หลักสูตร!K26,หลักสูตร!K30:K36)=0,"",IF(หลักสูตร!F3=1,AVERAGE(หลักสูตร!K20,หลักสูตร!K22,หลักสูตร!K36),IF(หลักสูตร!F3=2,AVERAGE(หลักสูตร!K20,หลักสูตร!K26,หลักสูตร!K36),IF(หลักสูตร!F3=3,AVERAGE(หลักสูตร!K20,หลักสูตร!K30,หลักสูตร!K36)))))</f>
        <v>2</v>
      </c>
      <c r="D13" s="85" t="s">
        <v>53</v>
      </c>
      <c r="E13" s="85" t="s">
        <v>53</v>
      </c>
      <c r="F13" s="62">
        <f>IF(SUM(หลักสูตร!K20,หลักสูตร!K22,หลักสูตร!K26,หลักสูตร!K30:K36)=0,"",AVERAGE(หลักสูตร!K20,หลักสูตร!K22,หลักสูตร!K26,หลักสูตร!K30,หลักสูตร!K36))</f>
        <v>2</v>
      </c>
      <c r="G13" s="63" t="str">
        <f>IF(AND(F13&gt;=4.01,F13&lt;=5),"ระดับคุณภาพดีมาก",IF(AND(F13&gt;=3.01,F13&lt;4.01),"ระดับคุณภาพดี",IF(AND(F13&gt;=2.01,F13&lt;3.01),"ระดับคุณภาพปานกลาง",IF(F13&lt;2.01,"ระดับคุณภาพน้อย",""))))</f>
        <v>ระดับคุณภาพน้อย</v>
      </c>
    </row>
    <row r="14" spans="1:7" ht="53.25" thickBot="1" x14ac:dyDescent="0.3">
      <c r="A14" s="86">
        <v>5</v>
      </c>
      <c r="B14" s="86">
        <v>4</v>
      </c>
      <c r="C14" s="87">
        <f>หลักสูตร!K37</f>
        <v>2</v>
      </c>
      <c r="D14" s="88">
        <f>IF(AND(หลักสูตร!K38="",หลักสูตร!K39="",หลักสูตร!K40=""),"",AVERAGE(หลักสูตร!K38,หลักสูตร!K39,หลักสูตร!K40))</f>
        <v>3</v>
      </c>
      <c r="E14" s="89" t="s">
        <v>53</v>
      </c>
      <c r="F14" s="64">
        <f>IF(SUM(หลักสูตร!K37:K40)=0,"",AVERAGE(หลักสูตร!K37:K40))</f>
        <v>2.75</v>
      </c>
      <c r="G14" s="65" t="str">
        <f>IF(AND(F14&gt;=4.01,F14&lt;=5),"ระดับคุณภาพดีมาก",IF(AND(F14&gt;=3.01,F14&lt;4.01),"ระดับคุณภาพดี",IF(AND(F14&gt;=2.01,F14&lt;3.01),"ระดับคุณภาพปานกลาง",IF(F14&lt;2.01,"ระดับคุณภาพน้อย",""))))</f>
        <v>ระดับคุณภาพปานกลาง</v>
      </c>
    </row>
    <row r="15" spans="1:7" ht="27" thickBot="1" x14ac:dyDescent="0.3">
      <c r="A15" s="78">
        <v>6</v>
      </c>
      <c r="B15" s="78">
        <v>1</v>
      </c>
      <c r="C15" s="79" t="s">
        <v>53</v>
      </c>
      <c r="D15" s="90">
        <f>หลักสูตร!K41</f>
        <v>2</v>
      </c>
      <c r="E15" s="79" t="s">
        <v>53</v>
      </c>
      <c r="F15" s="66">
        <f>หลักสูตร!K41</f>
        <v>2</v>
      </c>
      <c r="G15" s="67" t="str">
        <f>IF(AND(F15&gt;=4.01,F15&lt;=5),"ระดับคุณภาพดีมาก",IF(AND(F15&gt;=3.01,F15&lt;4.01),"ระดับคุณภาพดี",IF(AND(F15&gt;=2.01,F15&lt;3.01),"ระดับคุณภาพปานกลาง",IF(F15&lt;2.01,"ระดับคุณภาพน้อย",""))))</f>
        <v>ระดับคุณภาพน้อย</v>
      </c>
    </row>
    <row r="16" spans="1:7" ht="27" thickBot="1" x14ac:dyDescent="0.3">
      <c r="A16" s="68" t="s">
        <v>54</v>
      </c>
      <c r="B16" s="68">
        <v>13</v>
      </c>
      <c r="C16" s="68">
        <v>7</v>
      </c>
      <c r="D16" s="68">
        <v>4</v>
      </c>
      <c r="E16" s="68">
        <v>2</v>
      </c>
      <c r="F16" s="69"/>
      <c r="G16" s="69"/>
    </row>
    <row r="17" spans="1:9" ht="53.25" thickBot="1" x14ac:dyDescent="0.3">
      <c r="A17" s="195" t="s">
        <v>60</v>
      </c>
      <c r="B17" s="196"/>
      <c r="C17" s="70">
        <f>IF(SUM(หลักสูตร!K17:K20,หลักสูตร!K22,หลักสูตร!K26,หลักสูตร!K30,หลักสูตร!K36:K37)=0,"",AVERAGE(หลักสูตร!K17:K20,หลักสูตร!K22,หลักสูตร!K26,หลักสูตร!K30,หลักสูตร!K36:K37))</f>
        <v>2.2857142857142856</v>
      </c>
      <c r="D17" s="70">
        <f>IF(SUM(หลักสูตร!K38,หลักสูตร!K39,หลักสูตร!K40:K41)=0,"",AVERAGE(หลักสูตร!K38,หลักสูตร!K39,หลักสูตร!K40:K41))</f>
        <v>2.75</v>
      </c>
      <c r="E17" s="70">
        <f>E11</f>
        <v>4.8</v>
      </c>
      <c r="F17" s="71">
        <f>IF(หลักสูตร!K42="","",AVERAGE(หลักสูตร!K9:K20,หลักสูตร!K22,หลักสูตร!K26,หลักสูตร!K30:K41))</f>
        <v>2.8153846153846156</v>
      </c>
      <c r="G17" s="72" t="str">
        <f>IF(AND(F17&gt;=4.01,F17&lt;=5),"ระดับคุณภาพดีมาก",IF(AND(F17&gt;=3.01,F17&lt;4.01),"ระดับคุณภาพดี",IF(AND(F17&gt;=2.01,F17&lt;3.01),"ระดับคุณภาพปานกลาง",IF(F17&lt;2.01,"ระดับคุณภาพน้อย",""))))</f>
        <v>ระดับคุณภาพปานกลาง</v>
      </c>
      <c r="I17" s="73"/>
    </row>
    <row r="18" spans="1:9" ht="69" customHeight="1" thickBot="1" x14ac:dyDescent="0.3">
      <c r="A18" s="197" t="s">
        <v>48</v>
      </c>
      <c r="B18" s="198"/>
      <c r="C18" s="74" t="str">
        <f>IF(AND(C17&gt;=4.01,C17&lt;=5),"ระดับคุณภาพดีมาก",IF(AND(C17&gt;=3.01,C17&lt;4.01),"ระดับคุณภาพดี",IF(AND(C17&gt;=2.01,C17&lt;3.01),"ระดับคุณภาพปานกลาง",IF(C17&lt;2.01,"ระดับคุณภาพน้อย",""))))</f>
        <v>ระดับคุณภาพปานกลาง</v>
      </c>
      <c r="D18" s="74" t="str">
        <f>IF(AND(D17&gt;=4.01,D17&lt;=5),"ระดับคุณภาพดีมาก",IF(AND(D17&gt;=3.01,D17&lt;4.01),"ระดับคุณภาพดี",IF(AND(D17&gt;=2.01,D17&lt;3.01),"ระดับคุณภาพปานกลาง",IF(D17&lt;2.01,"ระดับคุณภาพน้อย",""))))</f>
        <v>ระดับคุณภาพปานกลาง</v>
      </c>
      <c r="E18" s="74" t="str">
        <f>IF(AND(E17&gt;=4.01,E17&lt;=5),"ระดับคุณภาพดีมาก",IF(AND(E17&gt;=3.01,E17&lt;4.01),"ระดับคุณภาพดี",IF(AND(E17&gt;=2.01,E17&lt;3.01),"ระดับคุณภาพปานกลาง",IF(E17&lt;2.01,"ระดับคุณภาพน้อย",""))))</f>
        <v>ระดับคุณภาพดีมาก</v>
      </c>
      <c r="F18" s="75"/>
      <c r="G18" s="76"/>
    </row>
  </sheetData>
  <sheetProtection sheet="1" objects="1" scenarios="1"/>
  <mergeCells count="15">
    <mergeCell ref="B1:G1"/>
    <mergeCell ref="A17:B17"/>
    <mergeCell ref="A18:B18"/>
    <mergeCell ref="A4:A8"/>
    <mergeCell ref="B4:B8"/>
    <mergeCell ref="A3:G3"/>
    <mergeCell ref="B9:B10"/>
    <mergeCell ref="G9:G10"/>
    <mergeCell ref="C9:E10"/>
    <mergeCell ref="C4:C8"/>
    <mergeCell ref="D4:D8"/>
    <mergeCell ref="E4:E8"/>
    <mergeCell ref="F4:F8"/>
    <mergeCell ref="A9:A10"/>
    <mergeCell ref="F9:F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horizontalDpi="4294967293" r:id="rId1"/>
  <headerFooter>
    <oddHeader>&amp;C&amp;"TH SarabunPSK,Regular"&amp;14พัฒนาโดย ดร.ประสิทธิ์ พงษ์เรืองพันธุ์ และรศ.ดร.เรณา พงษ์เรืองพันธุ์ วิทยาลัยนานาชาติ มหาวิทยาลัยบูรพา</oddHeader>
    <oddFooter>&amp;L&amp;"TH SarabunPSK,Regular"&amp;14Website: http://buuic.buu.ac.th/&amp;C&amp;"TH SarabunPSK,Regular"&amp;14"&amp;F"   &amp;T   &amp;D&amp;R&amp;"TH SarabunPSK,Regular"&amp;14E-mail: prasitp_g@yahoo.com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หลักสูตร</vt:lpstr>
      <vt:lpstr>ผลวิเคราะห์</vt:lpstr>
      <vt:lpstr>ผลวิเคราะห์!Print_Area</vt:lpstr>
      <vt:lpstr>หลักสูตร!Print_Area</vt:lpstr>
      <vt:lpstr>หลักสูตร!Print_Titles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BUUIC</dc:creator>
  <cp:lastModifiedBy>Pai</cp:lastModifiedBy>
  <cp:lastPrinted>2016-05-02T01:54:33Z</cp:lastPrinted>
  <dcterms:created xsi:type="dcterms:W3CDTF">2015-03-12T07:07:22Z</dcterms:created>
  <dcterms:modified xsi:type="dcterms:W3CDTF">2016-05-02T01:54:35Z</dcterms:modified>
</cp:coreProperties>
</file>